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720" activeTab="0"/>
  </bookViews>
  <sheets>
    <sheet name="Rates Calculator" sheetId="6" r:id="rId1"/>
    <sheet name="Calculator - Audit-View" sheetId="5" state="hidden" r:id="rId2"/>
    <sheet name="Tables" sheetId="4" state="hidden" r:id="rId3"/>
  </sheets>
  <definedNames>
    <definedName name="Add_Garbage">'Tables'!$A$22:$U$26</definedName>
    <definedName name="Add_Recycle">'Tables'!$A$28:$U$32</definedName>
    <definedName name="Ordinary_Rates">'Tables'!$A$4:$I$13</definedName>
    <definedName name="Pensioner">'Tables'!$A$41:$U$42</definedName>
    <definedName name="Sewer">'Tables'!$A$34:$U$38</definedName>
    <definedName name="Waste_Mgmt">'Tables'!$A$15:$U$20</definedName>
  </definedNames>
  <calcPr calcId="191029"/>
  <extLst/>
</workbook>
</file>

<file path=xl/sharedStrings.xml><?xml version="1.0" encoding="utf-8"?>
<sst xmlns="http://schemas.openxmlformats.org/spreadsheetml/2006/main" count="119" uniqueCount="94">
  <si>
    <t>Ordinary Rates</t>
  </si>
  <si>
    <t>Domestic Waste</t>
  </si>
  <si>
    <t>Special Rate Variation - Indicative Rates Comparison Calculator</t>
  </si>
  <si>
    <t>2013-14</t>
  </si>
  <si>
    <t>2014-15</t>
  </si>
  <si>
    <t>2015-16</t>
  </si>
  <si>
    <t>2016-17</t>
  </si>
  <si>
    <t>2017-18</t>
  </si>
  <si>
    <t>2018-19</t>
  </si>
  <si>
    <t>2019-20</t>
  </si>
  <si>
    <t>None</t>
  </si>
  <si>
    <t>Additional Garbage Charge</t>
  </si>
  <si>
    <t>Additional Recycling Charge</t>
  </si>
  <si>
    <t>1 Extra Bin</t>
  </si>
  <si>
    <t>2 Exra Bins</t>
  </si>
  <si>
    <t>3 Extra Bins</t>
  </si>
  <si>
    <t>4 Extra Bins</t>
  </si>
  <si>
    <t>Ordinary Rates
Classification</t>
  </si>
  <si>
    <t>Waste Management
Charges</t>
  </si>
  <si>
    <t>Additional Garbage
Charge</t>
  </si>
  <si>
    <t>Additional Recycling
Charge</t>
  </si>
  <si>
    <t>Statutory
Pension
 Rebate</t>
  </si>
  <si>
    <t>Residential - Vacant</t>
  </si>
  <si>
    <t>Non-Residential - Vacant</t>
  </si>
  <si>
    <t>Year 1</t>
  </si>
  <si>
    <t>Year 2</t>
  </si>
  <si>
    <t>Year 3</t>
  </si>
  <si>
    <t>Year 4</t>
  </si>
  <si>
    <t>Current Year</t>
  </si>
  <si>
    <t>Base Rate</t>
  </si>
  <si>
    <t>Waste Charge</t>
  </si>
  <si>
    <t>Garbage Charge</t>
  </si>
  <si>
    <t>Recycling Charge</t>
  </si>
  <si>
    <t>Sewerage Service</t>
  </si>
  <si>
    <t>Blayney</t>
  </si>
  <si>
    <t>Millthorpe</t>
  </si>
  <si>
    <t>Sewerage Charge</t>
  </si>
  <si>
    <t>Pensioner Rebate</t>
  </si>
  <si>
    <t>General Rates</t>
  </si>
  <si>
    <t>General Rates - Farmland</t>
  </si>
  <si>
    <t>General Rates - Other</t>
  </si>
  <si>
    <t>Base Rate - Other</t>
  </si>
  <si>
    <t>Base Rate - Farmland</t>
  </si>
  <si>
    <r>
      <t xml:space="preserve">Land Valuation
</t>
    </r>
    <r>
      <rPr>
        <b/>
        <sz val="8"/>
        <color indexed="9"/>
        <rFont val="Arial"/>
        <family val="2"/>
      </rPr>
      <t>(per 2013/14 Rates Notice)</t>
    </r>
  </si>
  <si>
    <t>Not Applicable</t>
  </si>
  <si>
    <t>Rates and Services</t>
  </si>
  <si>
    <t>Total (All) Rates and Services</t>
  </si>
  <si>
    <t>Impact of SRV</t>
  </si>
  <si>
    <t>All figures $'s</t>
  </si>
  <si>
    <t>Cumulative Impact of SRV</t>
  </si>
  <si>
    <t>% Increase for Opt. 2 vs Opt. 1</t>
  </si>
  <si>
    <t>Impact of SRV (Compared Opt. 1)</t>
  </si>
  <si>
    <t>% Increase for Opt. 3 vs Opt. 1</t>
  </si>
  <si>
    <t>Base Rate
($)</t>
  </si>
  <si>
    <t>Ad-valorem
(cents in $)</t>
  </si>
  <si>
    <r>
      <t xml:space="preserve">Option 1
</t>
    </r>
    <r>
      <rPr>
        <sz val="10"/>
        <rFont val="Arial"/>
        <family val="2"/>
      </rPr>
      <t>Reduced Services Model
(Current Rate-Peg Only)</t>
    </r>
  </si>
  <si>
    <t>Extra Garbage Charge</t>
  </si>
  <si>
    <t>Extra Recycling Charge</t>
  </si>
  <si>
    <r>
      <t xml:space="preserve">Option 2
</t>
    </r>
    <r>
      <rPr>
        <sz val="10"/>
        <rFont val="Arial"/>
        <family val="2"/>
      </rPr>
      <t>WRI Model
(10% Special Rate Variation)</t>
    </r>
  </si>
  <si>
    <r>
      <t xml:space="preserve">Option 3
</t>
    </r>
    <r>
      <rPr>
        <sz val="10"/>
        <rFont val="Arial"/>
        <family val="2"/>
      </rPr>
      <t>Maintained Services Model
(15% Special Rate Variation)</t>
    </r>
  </si>
  <si>
    <t>Residential Subcategory - Millthorpe</t>
  </si>
  <si>
    <t>Business - Ordinary Rate</t>
  </si>
  <si>
    <t>Farmland - Ordinary Rate</t>
  </si>
  <si>
    <t>Residential - Ordinary Rate</t>
  </si>
  <si>
    <t>Ad-valorem Rate</t>
  </si>
  <si>
    <t>All Other - Contact Council</t>
  </si>
  <si>
    <t>Mining</t>
  </si>
  <si>
    <r>
      <rPr>
        <b/>
        <sz val="11"/>
        <color indexed="10"/>
        <rFont val="Calibri"/>
        <family val="2"/>
      </rPr>
      <t>Instructions to determine your Indicative Rates:</t>
    </r>
    <r>
      <rPr>
        <b/>
        <sz val="8"/>
        <color indexed="10"/>
        <rFont val="Calibri"/>
        <family val="2"/>
      </rPr>
      <t xml:space="preserve">
  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8"/>
        <rFont val="Arial"/>
        <family val="2"/>
      </rPr>
      <t>1.   Enter the Land Value for your property in the first column (refer to your Rates Notice or VG Notice of this Valuation)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8"/>
        <rFont val="Arial"/>
        <family val="2"/>
      </rPr>
      <t>2.   Select the Rate Category of your property from the first drop down box (Ordinary Rates)
3.   Select the appropriate option in each of the remaining drop-down boxes based upon services provided</t>
    </r>
  </si>
  <si>
    <t>No Rebate</t>
  </si>
  <si>
    <t>Yes - Pensioner</t>
  </si>
  <si>
    <t>Statutory Pensioner Rebate</t>
  </si>
  <si>
    <t>Rates</t>
  </si>
  <si>
    <t>Sewer</t>
  </si>
  <si>
    <t>Contact Council for Non-Res Sewer Calc.</t>
  </si>
  <si>
    <t>Residential Subcategory - Blayney and Carcoar</t>
  </si>
  <si>
    <t>Mining - Gold/Copper Combined</t>
  </si>
  <si>
    <t>Domestic Waste - Availability</t>
  </si>
  <si>
    <t>Non-Domestic Waste - Availability</t>
  </si>
  <si>
    <r>
      <t xml:space="preserve">Your Land Valuation
</t>
    </r>
    <r>
      <rPr>
        <b/>
        <sz val="8"/>
        <color indexed="9"/>
        <rFont val="Arial"/>
        <family val="2"/>
      </rPr>
      <t xml:space="preserve">(Please use your new valuation notice)
</t>
    </r>
  </si>
  <si>
    <r>
      <t>Total
Rates and Services</t>
    </r>
    <r>
      <rPr>
        <sz val="10"/>
        <rFont val="Arial"/>
        <family val="2"/>
      </rPr>
      <t xml:space="preserve"> (All)</t>
    </r>
    <r>
      <rPr>
        <b/>
        <sz val="10"/>
        <rFont val="Arial"/>
        <family val="2"/>
      </rPr>
      <t xml:space="preserve">
</t>
    </r>
  </si>
  <si>
    <t>Business - Blayney</t>
  </si>
  <si>
    <t>Business - Millthorpe, Carcoar</t>
  </si>
  <si>
    <t>Mining - Gold</t>
  </si>
  <si>
    <t xml:space="preserve">Not applicable </t>
  </si>
  <si>
    <t>Waste Management Charge inc Levy</t>
  </si>
  <si>
    <t>Sewer Charges inc Future Sewerage Infrastructure Subsidy Charge</t>
  </si>
  <si>
    <t>Residential - Connected</t>
  </si>
  <si>
    <t>Non-Domestic Waste</t>
  </si>
  <si>
    <t>Non-Domestic for Charity and Not for Profit Organisations</t>
  </si>
  <si>
    <t>Waste Management Charges Including Waste Levy</t>
  </si>
  <si>
    <t>Sewerage Service Connection Type
Including Future Sewerage Infrastructure Subsidy Charge</t>
  </si>
  <si>
    <t>Statutory Pension Rebate</t>
  </si>
  <si>
    <t>Rates Payable 
2022/23</t>
  </si>
  <si>
    <t>2022/2023 Comparative Rates Calculator with Increase of 2.5% (ASV)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</si>
</sst>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00_-;\-* #,##0.000000_-;_-* &quot;-&quot;??_-;_-@_-"/>
    <numFmt numFmtId="167" formatCode="#,##0.00;[Red]\(#,##0.00\)"/>
    <numFmt numFmtId="168" formatCode="#,##0.000000_ ;\-#,##0.000000\ "/>
  </numFmts>
  <fonts count="2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10"/>
      <name val="Calibri"/>
      <family val="2"/>
    </font>
    <font>
      <sz val="10"/>
      <color rgb="FFCCFFCC"/>
      <name val="Arial"/>
      <family val="2"/>
    </font>
    <font>
      <b/>
      <sz val="10"/>
      <color rgb="FFCCFFCC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8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0070C0"/>
      <name val="Arial"/>
      <family val="2"/>
    </font>
  </fonts>
  <fills count="19">
    <fill>
      <patternFill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/>
      <right/>
      <top style="thin">
        <color theme="7" tint="-0.24993999302387238"/>
      </top>
      <bottom/>
    </border>
    <border>
      <left style="thin">
        <color theme="7" tint="-0.24993999302387238"/>
      </left>
      <right/>
      <top/>
      <bottom/>
    </border>
    <border>
      <left/>
      <right style="thin">
        <color theme="7" tint="-0.24993999302387238"/>
      </right>
      <top/>
      <bottom/>
    </border>
    <border>
      <left style="thin">
        <color theme="7" tint="-0.24993999302387238"/>
      </left>
      <right/>
      <top/>
      <bottom style="thin">
        <color theme="7" tint="-0.24993999302387238"/>
      </bottom>
    </border>
    <border>
      <left/>
      <right/>
      <top/>
      <bottom style="thin">
        <color theme="7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/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 style="thick">
        <color theme="1" tint="0.49998000264167786"/>
      </right>
      <top/>
      <bottom style="thick">
        <color theme="1" tint="0.49998000264167786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7" tint="-0.24993999302387238"/>
      </right>
      <top style="thin">
        <color theme="7" tint="-0.24993999302387238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3" tint="0.5999600291252136"/>
      </left>
      <right/>
      <top/>
      <bottom style="thin">
        <color theme="3" tint="0.5999600291252136"/>
      </bottom>
    </border>
    <border>
      <left/>
      <right/>
      <top/>
      <bottom style="thin">
        <color theme="3" tint="0.5999600291252136"/>
      </bottom>
    </border>
    <border>
      <left/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3999499976634979"/>
      </left>
      <right/>
      <top style="thin">
        <color theme="3" tint="0.3999499976634979"/>
      </top>
      <bottom/>
    </border>
    <border>
      <left/>
      <right/>
      <top style="thin">
        <color theme="3" tint="0.3999499976634979"/>
      </top>
      <bottom/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 style="thin">
        <color theme="7" tint="0.3999499976634979"/>
      </left>
      <right/>
      <top style="thin">
        <color theme="7" tint="0.3999499976634979"/>
      </top>
      <bottom/>
    </border>
    <border>
      <left/>
      <right/>
      <top style="thin">
        <color theme="7" tint="0.3999499976634979"/>
      </top>
      <bottom/>
    </border>
    <border>
      <left/>
      <right style="thin">
        <color theme="7" tint="0.3999499976634979"/>
      </right>
      <top style="thin">
        <color theme="7" tint="0.3999499976634979"/>
      </top>
      <bottom/>
    </border>
    <border>
      <left style="thin">
        <color theme="6" tint="-0.24993999302387238"/>
      </left>
      <right/>
      <top style="thin">
        <color theme="6" tint="-0.24993999302387238"/>
      </top>
      <bottom/>
    </border>
    <border>
      <left/>
      <right/>
      <top style="thin">
        <color theme="6" tint="-0.24993999302387238"/>
      </top>
      <bottom/>
    </border>
    <border>
      <left/>
      <right style="thin">
        <color theme="6" tint="-0.24993999302387238"/>
      </right>
      <top style="thin">
        <color theme="6" tint="-0.24993999302387238"/>
      </top>
      <bottom/>
    </border>
    <border>
      <left style="thin">
        <color theme="3" tint="0.3999499976634979"/>
      </left>
      <right/>
      <top/>
      <bottom style="thin">
        <color theme="3" tint="0.3999499976634979"/>
      </bottom>
    </border>
    <border>
      <left/>
      <right/>
      <top/>
      <bottom style="thin">
        <color theme="3" tint="0.3999499976634979"/>
      </bottom>
    </border>
    <border>
      <left/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7" tint="0.3999499976634979"/>
      </left>
      <right/>
      <top/>
      <bottom style="thin">
        <color theme="7" tint="0.3999499976634979"/>
      </bottom>
    </border>
    <border>
      <left/>
      <right/>
      <top/>
      <bottom style="thin">
        <color theme="7" tint="0.3999499976634979"/>
      </bottom>
    </border>
    <border>
      <left/>
      <right style="thin">
        <color theme="7" tint="0.3999499976634979"/>
      </right>
      <top/>
      <bottom style="thin">
        <color theme="7" tint="0.3999499976634979"/>
      </bottom>
    </border>
    <border>
      <left style="thin">
        <color theme="6" tint="-0.24993999302387238"/>
      </left>
      <right/>
      <top/>
      <bottom style="thin">
        <color theme="6" tint="-0.24993999302387238"/>
      </bottom>
    </border>
    <border>
      <left/>
      <right/>
      <top/>
      <bottom style="thin">
        <color theme="6" tint="-0.24993999302387238"/>
      </bottom>
    </border>
    <border>
      <left/>
      <right style="thin">
        <color theme="6" tint="-0.24993999302387238"/>
      </right>
      <top/>
      <bottom style="thin">
        <color theme="6" tint="-0.24993999302387238"/>
      </bottom>
    </border>
    <border>
      <left style="thin">
        <color theme="9" tint="0.3999499976634979"/>
      </left>
      <right/>
      <top/>
      <bottom style="thin">
        <color theme="9" tint="0.3999499976634979"/>
      </bottom>
    </border>
    <border>
      <left/>
      <right/>
      <top/>
      <bottom style="thin">
        <color theme="9" tint="0.3999499976634979"/>
      </bottom>
    </border>
    <border>
      <left/>
      <right style="thin">
        <color theme="9" tint="0.3999499976634979"/>
      </right>
      <top/>
      <bottom style="thin">
        <color theme="9" tint="0.3999499976634979"/>
      </bottom>
    </border>
    <border>
      <left style="thin">
        <color theme="2" tint="-0.4999699890613556"/>
      </left>
      <right/>
      <top style="thin">
        <color theme="2" tint="-0.4999699890613556"/>
      </top>
      <bottom/>
    </border>
    <border>
      <left/>
      <right/>
      <top style="thin">
        <color theme="2" tint="-0.4999699890613556"/>
      </top>
      <bottom/>
    </border>
    <border>
      <left/>
      <right style="thin">
        <color theme="2" tint="-0.4999699890613556"/>
      </right>
      <top style="thin">
        <color theme="2" tint="-0.4999699890613556"/>
      </top>
      <bottom/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/>
      <right/>
      <top/>
      <bottom style="thin">
        <color theme="2" tint="-0.4999699890613556"/>
      </bottom>
    </border>
    <border>
      <left/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9" tint="0.3999499976634979"/>
      </left>
      <right/>
      <top style="thin">
        <color theme="9" tint="0.3999499976634979"/>
      </top>
      <bottom/>
    </border>
    <border>
      <left/>
      <right/>
      <top style="thin">
        <color theme="9" tint="0.3999499976634979"/>
      </top>
      <bottom/>
    </border>
    <border>
      <left/>
      <right style="thin">
        <color theme="9" tint="0.3999499976634979"/>
      </right>
      <top style="thin">
        <color theme="9" tint="0.3999499976634979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7" tint="-0.24993999302387238"/>
      </right>
      <top/>
      <bottom style="thin">
        <color theme="7" tint="-0.2499399930238723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0" fontId="0" fillId="0" borderId="0" xfId="0"/>
    <xf numFmtId="0" fontId="0" fillId="0" borderId="0" xfId="0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Protection="1">
      <protection/>
    </xf>
    <xf numFmtId="0" fontId="1" fillId="0" borderId="0" xfId="0" applyFont="1" applyFill="1" applyBorder="1" applyProtection="1">
      <protection/>
    </xf>
    <xf numFmtId="164" fontId="0" fillId="0" borderId="0" xfId="18" applyNumberFormat="1" applyFill="1" applyBorder="1" applyProtection="1">
      <protection/>
    </xf>
    <xf numFmtId="0" fontId="1" fillId="0" borderId="0" xfId="0" applyFont="1" applyProtection="1">
      <protection/>
    </xf>
    <xf numFmtId="0" fontId="0" fillId="0" borderId="0" xfId="0" applyAlignment="1" applyProtection="1">
      <alignment horizontal="left" indent="1"/>
      <protection/>
    </xf>
    <xf numFmtId="43" fontId="0" fillId="0" borderId="0" xfId="18" applyProtection="1">
      <protection/>
    </xf>
    <xf numFmtId="166" fontId="0" fillId="0" borderId="0" xfId="18" applyNumberFormat="1" applyFont="1" applyProtection="1">
      <protection/>
    </xf>
    <xf numFmtId="0" fontId="1" fillId="0" borderId="0" xfId="0" applyFont="1" applyAlignment="1" applyProtection="1">
      <alignment horizontal="left"/>
      <protection/>
    </xf>
    <xf numFmtId="164" fontId="0" fillId="0" borderId="0" xfId="18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4" fontId="1" fillId="0" borderId="0" xfId="16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0" fillId="0" borderId="0" xfId="18" applyNumberFormat="1" applyBorder="1" applyProtection="1">
      <protection/>
    </xf>
    <xf numFmtId="0" fontId="1" fillId="0" borderId="0" xfId="0" applyFont="1" applyBorder="1" applyAlignment="1" applyProtection="1">
      <alignment vertical="center"/>
      <protection/>
    </xf>
    <xf numFmtId="164" fontId="0" fillId="0" borderId="0" xfId="18" applyNumberForma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3" fontId="0" fillId="0" borderId="0" xfId="18" applyFont="1" applyFill="1" applyBorder="1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3" fontId="0" fillId="0" borderId="0" xfId="18" applyFont="1" applyFill="1" applyBorder="1" applyAlignment="1" applyProtection="1">
      <alignment horizontal="right"/>
      <protection/>
    </xf>
    <xf numFmtId="43" fontId="1" fillId="0" borderId="0" xfId="18" applyFont="1" applyFill="1" applyBorder="1" applyAlignment="1" applyProtection="1">
      <alignment vertical="center"/>
      <protection/>
    </xf>
    <xf numFmtId="43" fontId="4" fillId="0" borderId="0" xfId="18" applyFont="1" applyFill="1" applyBorder="1" applyAlignment="1" applyProtection="1">
      <alignment vertical="center"/>
      <protection/>
    </xf>
    <xf numFmtId="6" fontId="12" fillId="0" borderId="0" xfId="16" applyNumberFormat="1" applyFont="1" applyFill="1" applyBorder="1" applyAlignment="1" applyProtection="1">
      <alignment vertical="center"/>
      <protection/>
    </xf>
    <xf numFmtId="164" fontId="11" fillId="0" borderId="0" xfId="18" applyNumberFormat="1" applyFont="1" applyFill="1" applyBorder="1" applyAlignment="1" applyProtection="1">
      <alignment horizontal="center" vertical="center"/>
      <protection/>
    </xf>
    <xf numFmtId="164" fontId="11" fillId="0" borderId="0" xfId="18" applyNumberFormat="1" applyFont="1" applyFill="1" applyBorder="1" applyAlignment="1" applyProtection="1">
      <alignment vertical="center"/>
      <protection/>
    </xf>
    <xf numFmtId="43" fontId="2" fillId="0" borderId="0" xfId="18" applyFont="1" applyFill="1" applyBorder="1" applyAlignment="1" applyProtection="1">
      <alignment horizontal="right" vertical="center"/>
      <protection/>
    </xf>
    <xf numFmtId="43" fontId="2" fillId="0" borderId="0" xfId="18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1" fillId="4" borderId="0" xfId="0" applyFont="1" applyFill="1" applyBorder="1" applyAlignment="1" applyProtection="1">
      <alignment vertical="center"/>
      <protection/>
    </xf>
    <xf numFmtId="43" fontId="1" fillId="4" borderId="0" xfId="18" applyFont="1" applyFill="1" applyBorder="1" applyAlignment="1" applyProtection="1">
      <alignment vertical="center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" fillId="5" borderId="0" xfId="0" applyFont="1" applyFill="1" applyBorder="1" applyAlignment="1" applyProtection="1">
      <alignment vertical="center"/>
      <protection/>
    </xf>
    <xf numFmtId="43" fontId="1" fillId="5" borderId="0" xfId="18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6" borderId="0" xfId="0" applyFont="1" applyFill="1" applyBorder="1" applyAlignment="1" applyProtection="1">
      <alignment horizontal="left" vertical="center" wrapText="1"/>
      <protection/>
    </xf>
    <xf numFmtId="43" fontId="1" fillId="6" borderId="0" xfId="18" applyFont="1" applyFill="1" applyBorder="1" applyAlignment="1" applyProtection="1">
      <alignment vertical="center"/>
      <protection/>
    </xf>
    <xf numFmtId="0" fontId="0" fillId="6" borderId="0" xfId="0" applyFill="1" applyBorder="1" applyAlignment="1" applyProtection="1">
      <alignment vertical="center"/>
      <protection/>
    </xf>
    <xf numFmtId="43" fontId="4" fillId="3" borderId="0" xfId="18" applyFont="1" applyFill="1" applyBorder="1" applyAlignment="1" applyProtection="1">
      <alignment horizontal="right" vertical="center"/>
      <protection/>
    </xf>
    <xf numFmtId="165" fontId="4" fillId="3" borderId="0" xfId="15" applyNumberFormat="1" applyFont="1" applyFill="1" applyBorder="1" applyAlignment="1" applyProtection="1">
      <alignment horizontal="right" vertical="center"/>
      <protection/>
    </xf>
    <xf numFmtId="0" fontId="3" fillId="7" borderId="0" xfId="0" applyFont="1" applyFill="1" applyBorder="1" applyAlignment="1" applyProtection="1">
      <alignment horizontal="center" vertical="center"/>
      <protection/>
    </xf>
    <xf numFmtId="165" fontId="4" fillId="7" borderId="0" xfId="15" applyNumberFormat="1" applyFont="1" applyFill="1" applyBorder="1" applyAlignment="1" applyProtection="1">
      <alignment horizontal="right" vertical="center"/>
      <protection/>
    </xf>
    <xf numFmtId="0" fontId="3" fillId="8" borderId="0" xfId="0" applyFont="1" applyFill="1" applyBorder="1" applyAlignment="1" applyProtection="1">
      <alignment horizontal="center" vertical="center"/>
      <protection/>
    </xf>
    <xf numFmtId="165" fontId="4" fillId="8" borderId="0" xfId="15" applyNumberFormat="1" applyFont="1" applyFill="1" applyBorder="1" applyAlignment="1" applyProtection="1">
      <alignment horizontal="right" vertical="center"/>
      <protection/>
    </xf>
    <xf numFmtId="0" fontId="3" fillId="9" borderId="0" xfId="0" applyFont="1" applyFill="1" applyBorder="1" applyAlignment="1" applyProtection="1">
      <alignment horizontal="center" vertical="center"/>
      <protection/>
    </xf>
    <xf numFmtId="165" fontId="4" fillId="9" borderId="0" xfId="15" applyNumberFormat="1" applyFont="1" applyFill="1" applyBorder="1" applyAlignment="1" applyProtection="1">
      <alignment horizontal="right" vertical="center"/>
      <protection/>
    </xf>
    <xf numFmtId="0" fontId="3" fillId="10" borderId="0" xfId="0" applyFont="1" applyFill="1" applyBorder="1" applyAlignment="1" applyProtection="1">
      <alignment horizontal="center" vertical="center"/>
      <protection/>
    </xf>
    <xf numFmtId="165" fontId="4" fillId="10" borderId="0" xfId="15" applyNumberFormat="1" applyFont="1" applyFill="1" applyBorder="1" applyAlignment="1" applyProtection="1">
      <alignment horizontal="right" vertical="center"/>
      <protection/>
    </xf>
    <xf numFmtId="43" fontId="0" fillId="9" borderId="0" xfId="18" applyFont="1" applyFill="1" applyBorder="1" applyProtection="1">
      <protection/>
    </xf>
    <xf numFmtId="43" fontId="0" fillId="2" borderId="0" xfId="18" applyFont="1" applyFill="1" applyBorder="1" applyProtection="1">
      <protection/>
    </xf>
    <xf numFmtId="165" fontId="4" fillId="2" borderId="0" xfId="15" applyNumberFormat="1" applyFont="1" applyFill="1" applyBorder="1" applyAlignment="1" applyProtection="1">
      <alignment horizontal="center" vertical="center" wrapText="1"/>
      <protection/>
    </xf>
    <xf numFmtId="0" fontId="13" fillId="11" borderId="0" xfId="18" applyNumberFormat="1" applyFont="1" applyFill="1" applyBorder="1" applyAlignment="1" applyProtection="1">
      <alignment horizontal="center" vertical="center" wrapText="1"/>
      <protection/>
    </xf>
    <xf numFmtId="6" fontId="14" fillId="12" borderId="0" xfId="16" applyNumberFormat="1" applyFont="1" applyFill="1" applyBorder="1" applyAlignment="1" applyProtection="1">
      <alignment horizontal="center" vertical="center"/>
      <protection locked="0"/>
    </xf>
    <xf numFmtId="43" fontId="4" fillId="3" borderId="0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3" fontId="4" fillId="7" borderId="0" xfId="18" applyFont="1" applyFill="1" applyBorder="1" applyAlignment="1" applyProtection="1">
      <alignment horizontal="right" vertical="center"/>
      <protection/>
    </xf>
    <xf numFmtId="43" fontId="4" fillId="8" borderId="0" xfId="18" applyFont="1" applyFill="1" applyBorder="1" applyAlignment="1" applyProtection="1">
      <alignment horizontal="right" vertical="center"/>
      <protection/>
    </xf>
    <xf numFmtId="43" fontId="4" fillId="10" borderId="0" xfId="18" applyFont="1" applyFill="1" applyBorder="1" applyAlignment="1" applyProtection="1">
      <alignment horizontal="right" vertical="center"/>
      <protection/>
    </xf>
    <xf numFmtId="43" fontId="4" fillId="9" borderId="0" xfId="18" applyFont="1" applyFill="1" applyBorder="1" applyAlignment="1" applyProtection="1">
      <alignment horizontal="right" vertical="center"/>
      <protection/>
    </xf>
    <xf numFmtId="43" fontId="4" fillId="2" borderId="0" xfId="18" applyFont="1" applyFill="1" applyBorder="1" applyAlignment="1" applyProtection="1">
      <alignment horizontal="center" vertical="center" wrapText="1"/>
      <protection/>
    </xf>
    <xf numFmtId="0" fontId="0" fillId="6" borderId="0" xfId="0" applyFont="1" applyFill="1" applyBorder="1" applyAlignment="1" applyProtection="1">
      <alignment vertical="center"/>
      <protection/>
    </xf>
    <xf numFmtId="0" fontId="4" fillId="0" borderId="0" xfId="0" applyFont="1" applyBorder="1" applyProtection="1">
      <protection/>
    </xf>
    <xf numFmtId="0" fontId="0" fillId="6" borderId="0" xfId="0" applyFill="1" applyBorder="1" applyProtection="1">
      <protection/>
    </xf>
    <xf numFmtId="0" fontId="4" fillId="6" borderId="0" xfId="0" applyFont="1" applyFill="1" applyBorder="1" applyProtection="1">
      <protection/>
    </xf>
    <xf numFmtId="0" fontId="3" fillId="13" borderId="0" xfId="0" applyFont="1" applyFill="1" applyBorder="1" applyAlignment="1" applyProtection="1">
      <alignment horizontal="center" vertical="center"/>
      <protection/>
    </xf>
    <xf numFmtId="165" fontId="4" fillId="13" borderId="0" xfId="15" applyNumberFormat="1" applyFont="1" applyFill="1" applyBorder="1" applyAlignment="1" applyProtection="1">
      <alignment horizontal="right" vertical="center"/>
      <protection/>
    </xf>
    <xf numFmtId="43" fontId="4" fillId="13" borderId="0" xfId="18" applyFont="1" applyFill="1" applyBorder="1" applyAlignment="1" applyProtection="1">
      <alignment horizontal="right" vertical="center"/>
      <protection/>
    </xf>
    <xf numFmtId="43" fontId="6" fillId="3" borderId="0" xfId="18" applyFont="1" applyFill="1" applyBorder="1" applyAlignment="1" applyProtection="1">
      <alignment horizontal="right" vertical="center"/>
      <protection/>
    </xf>
    <xf numFmtId="43" fontId="6" fillId="0" borderId="0" xfId="18" applyFont="1" applyFill="1" applyBorder="1" applyAlignment="1" applyProtection="1">
      <alignment vertical="center"/>
      <protection/>
    </xf>
    <xf numFmtId="165" fontId="6" fillId="14" borderId="0" xfId="15" applyNumberFormat="1" applyFont="1" applyFill="1" applyBorder="1" applyAlignment="1" applyProtection="1">
      <alignment horizontal="center" vertical="center" wrapText="1"/>
      <protection/>
    </xf>
    <xf numFmtId="164" fontId="1" fillId="6" borderId="0" xfId="18" applyNumberFormat="1" applyFont="1" applyFill="1" applyBorder="1" applyProtection="1">
      <protection/>
    </xf>
    <xf numFmtId="0" fontId="1" fillId="6" borderId="0" xfId="0" applyFont="1" applyFill="1" applyBorder="1" applyProtection="1">
      <protection/>
    </xf>
    <xf numFmtId="0" fontId="1" fillId="3" borderId="0" xfId="0" applyFont="1" applyFill="1" applyBorder="1" applyProtection="1">
      <protection/>
    </xf>
    <xf numFmtId="164" fontId="1" fillId="3" borderId="0" xfId="18" applyNumberFormat="1" applyFont="1" applyFill="1" applyBorder="1" applyProtection="1">
      <protection/>
    </xf>
    <xf numFmtId="164" fontId="1" fillId="0" borderId="0" xfId="18" applyNumberFormat="1" applyFont="1" applyFill="1" applyBorder="1" applyProtection="1">
      <protection/>
    </xf>
    <xf numFmtId="164" fontId="1" fillId="15" borderId="0" xfId="18" applyNumberFormat="1" applyFont="1" applyFill="1" applyBorder="1" applyProtection="1">
      <protection/>
    </xf>
    <xf numFmtId="164" fontId="1" fillId="13" borderId="0" xfId="18" applyNumberFormat="1" applyFont="1" applyFill="1" applyBorder="1" applyProtection="1">
      <protection/>
    </xf>
    <xf numFmtId="0" fontId="1" fillId="8" borderId="0" xfId="0" applyFont="1" applyFill="1" applyBorder="1" applyProtection="1">
      <protection/>
    </xf>
    <xf numFmtId="0" fontId="1" fillId="10" borderId="0" xfId="0" applyFont="1" applyFill="1" applyBorder="1" applyProtection="1">
      <protection/>
    </xf>
    <xf numFmtId="0" fontId="1" fillId="9" borderId="0" xfId="0" applyFont="1" applyFill="1" applyBorder="1" applyProtection="1">
      <protection/>
    </xf>
    <xf numFmtId="0" fontId="1" fillId="14" borderId="0" xfId="0" applyFont="1" applyFill="1" applyBorder="1" applyProtection="1">
      <protection/>
    </xf>
    <xf numFmtId="164" fontId="6" fillId="6" borderId="0" xfId="18" applyNumberFormat="1" applyFont="1" applyFill="1" applyBorder="1" applyProtection="1">
      <protection/>
    </xf>
    <xf numFmtId="0" fontId="6" fillId="6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43" fontId="2" fillId="7" borderId="0" xfId="18" applyFont="1" applyFill="1" applyBorder="1" applyAlignment="1" applyProtection="1">
      <alignment horizontal="center" vertical="center"/>
      <protection/>
    </xf>
    <xf numFmtId="43" fontId="2" fillId="13" borderId="0" xfId="18" applyFont="1" applyFill="1" applyBorder="1" applyAlignment="1" applyProtection="1">
      <alignment horizontal="center" vertical="center"/>
      <protection/>
    </xf>
    <xf numFmtId="43" fontId="2" fillId="8" borderId="0" xfId="18" applyFont="1" applyFill="1" applyBorder="1" applyAlignment="1" applyProtection="1">
      <alignment horizontal="center" vertical="center"/>
      <protection/>
    </xf>
    <xf numFmtId="43" fontId="2" fillId="10" borderId="0" xfId="18" applyFont="1" applyFill="1" applyBorder="1" applyAlignment="1" applyProtection="1">
      <alignment horizontal="center" vertical="center"/>
      <protection/>
    </xf>
    <xf numFmtId="43" fontId="2" fillId="9" borderId="0" xfId="18" applyFont="1" applyFill="1" applyBorder="1" applyAlignment="1" applyProtection="1">
      <alignment horizontal="center" vertical="center"/>
      <protection/>
    </xf>
    <xf numFmtId="43" fontId="1" fillId="2" borderId="0" xfId="18" applyFont="1" applyFill="1" applyBorder="1" applyAlignment="1" applyProtection="1">
      <alignment horizontal="center" vertical="center" wrapText="1"/>
      <protection/>
    </xf>
    <xf numFmtId="43" fontId="1" fillId="3" borderId="0" xfId="18" applyFont="1" applyFill="1" applyBorder="1" applyAlignment="1" applyProtection="1">
      <alignment horizontal="center" vertical="center"/>
      <protection/>
    </xf>
    <xf numFmtId="43" fontId="1" fillId="7" borderId="0" xfId="18" applyFont="1" applyFill="1" applyBorder="1" applyAlignment="1" applyProtection="1">
      <alignment horizontal="center" vertical="center"/>
      <protection/>
    </xf>
    <xf numFmtId="43" fontId="1" fillId="13" borderId="0" xfId="18" applyFont="1" applyFill="1" applyBorder="1" applyAlignment="1" applyProtection="1">
      <alignment horizontal="center" vertical="center"/>
      <protection/>
    </xf>
    <xf numFmtId="43" fontId="1" fillId="8" borderId="0" xfId="18" applyFont="1" applyFill="1" applyBorder="1" applyAlignment="1" applyProtection="1">
      <alignment horizontal="center" vertical="center"/>
      <protection/>
    </xf>
    <xf numFmtId="43" fontId="1" fillId="10" borderId="0" xfId="18" applyFont="1" applyFill="1" applyBorder="1" applyAlignment="1" applyProtection="1">
      <alignment horizontal="center" vertical="center"/>
      <protection/>
    </xf>
    <xf numFmtId="43" fontId="1" fillId="9" borderId="0" xfId="18" applyFont="1" applyFill="1" applyBorder="1" applyAlignment="1" applyProtection="1">
      <alignment horizontal="center" vertical="center"/>
      <protection/>
    </xf>
    <xf numFmtId="43" fontId="0" fillId="3" borderId="0" xfId="18" applyFont="1" applyFill="1" applyBorder="1" applyAlignment="1" applyProtection="1">
      <alignment horizontal="center"/>
      <protection/>
    </xf>
    <xf numFmtId="43" fontId="1" fillId="2" borderId="0" xfId="18" applyFont="1" applyFill="1" applyBorder="1" applyAlignment="1" applyProtection="1">
      <alignment horizontal="center" vertical="center"/>
      <protection/>
    </xf>
    <xf numFmtId="165" fontId="6" fillId="9" borderId="0" xfId="15" applyNumberFormat="1" applyFont="1" applyFill="1" applyBorder="1" applyAlignment="1" applyProtection="1">
      <alignment horizontal="right" vertical="center"/>
      <protection/>
    </xf>
    <xf numFmtId="165" fontId="6" fillId="3" borderId="0" xfId="15" applyNumberFormat="1" applyFont="1" applyFill="1" applyBorder="1" applyAlignment="1" applyProtection="1">
      <alignment horizontal="right" vertical="center"/>
      <protection/>
    </xf>
    <xf numFmtId="165" fontId="6" fillId="7" borderId="0" xfId="15" applyNumberFormat="1" applyFont="1" applyFill="1" applyBorder="1" applyAlignment="1" applyProtection="1">
      <alignment horizontal="right" vertical="center"/>
      <protection/>
    </xf>
    <xf numFmtId="165" fontId="6" fillId="13" borderId="0" xfId="15" applyNumberFormat="1" applyFont="1" applyFill="1" applyBorder="1" applyAlignment="1" applyProtection="1">
      <alignment horizontal="right" vertical="center"/>
      <protection/>
    </xf>
    <xf numFmtId="165" fontId="6" fillId="8" borderId="0" xfId="15" applyNumberFormat="1" applyFont="1" applyFill="1" applyBorder="1" applyAlignment="1" applyProtection="1">
      <alignment horizontal="right" vertical="center"/>
      <protection/>
    </xf>
    <xf numFmtId="165" fontId="6" fillId="10" borderId="0" xfId="15" applyNumberFormat="1" applyFont="1" applyFill="1" applyBorder="1" applyAlignment="1" applyProtection="1">
      <alignment horizontal="right" vertical="center"/>
      <protection/>
    </xf>
    <xf numFmtId="43" fontId="1" fillId="3" borderId="0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right" vertical="center"/>
      <protection/>
    </xf>
    <xf numFmtId="43" fontId="1" fillId="13" borderId="0" xfId="18" applyFont="1" applyFill="1" applyBorder="1" applyAlignment="1" applyProtection="1">
      <alignment horizontal="right" vertical="center"/>
      <protection/>
    </xf>
    <xf numFmtId="43" fontId="1" fillId="8" borderId="0" xfId="18" applyFont="1" applyFill="1" applyBorder="1" applyAlignment="1" applyProtection="1">
      <alignment horizontal="right" vertical="center"/>
      <protection/>
    </xf>
    <xf numFmtId="43" fontId="1" fillId="10" borderId="0" xfId="18" applyFont="1" applyFill="1" applyBorder="1" applyAlignment="1" applyProtection="1">
      <alignment horizontal="right" vertical="center"/>
      <protection/>
    </xf>
    <xf numFmtId="43" fontId="1" fillId="9" borderId="0" xfId="18" applyFont="1" applyFill="1" applyBorder="1" applyAlignment="1" applyProtection="1">
      <alignment horizontal="right" vertical="center"/>
      <protection/>
    </xf>
    <xf numFmtId="43" fontId="1" fillId="2" borderId="0" xfId="18" applyFont="1" applyFill="1" applyBorder="1" applyAlignment="1" applyProtection="1">
      <alignment horizontal="right" vertical="center" wrapText="1"/>
      <protection/>
    </xf>
    <xf numFmtId="43" fontId="1" fillId="14" borderId="0" xfId="18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Protection="1">
      <protection/>
    </xf>
    <xf numFmtId="0" fontId="0" fillId="0" borderId="2" xfId="0" applyFill="1" applyBorder="1" applyProtection="1">
      <protection/>
    </xf>
    <xf numFmtId="43" fontId="2" fillId="0" borderId="2" xfId="18" applyFont="1" applyFill="1" applyBorder="1" applyAlignment="1" applyProtection="1">
      <alignment horizontal="right" vertical="center"/>
      <protection/>
    </xf>
    <xf numFmtId="43" fontId="0" fillId="0" borderId="2" xfId="18" applyFont="1" applyFill="1" applyBorder="1" applyAlignment="1" applyProtection="1">
      <alignment horizontal="right"/>
      <protection/>
    </xf>
    <xf numFmtId="0" fontId="0" fillId="0" borderId="3" xfId="0" applyFont="1" applyFill="1" applyBorder="1" applyProtection="1">
      <protection/>
    </xf>
    <xf numFmtId="0" fontId="0" fillId="0" borderId="3" xfId="0" applyFill="1" applyBorder="1" applyProtection="1">
      <protection/>
    </xf>
    <xf numFmtId="43" fontId="0" fillId="2" borderId="4" xfId="18" applyFont="1" applyFill="1" applyBorder="1" applyProtection="1">
      <protection/>
    </xf>
    <xf numFmtId="0" fontId="1" fillId="5" borderId="3" xfId="0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43" fontId="1" fillId="2" borderId="4" xfId="18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vertical="center" wrapText="1"/>
      <protection/>
    </xf>
    <xf numFmtId="0" fontId="0" fillId="5" borderId="6" xfId="0" applyFont="1" applyFill="1" applyBorder="1" applyAlignment="1" applyProtection="1">
      <alignment vertical="center"/>
      <protection/>
    </xf>
    <xf numFmtId="43" fontId="1" fillId="5" borderId="6" xfId="18" applyFont="1" applyFill="1" applyBorder="1" applyAlignment="1" applyProtection="1">
      <alignment vertical="center"/>
      <protection/>
    </xf>
    <xf numFmtId="0" fontId="0" fillId="0" borderId="7" xfId="0" applyFont="1" applyFill="1" applyBorder="1" applyProtection="1">
      <protection/>
    </xf>
    <xf numFmtId="0" fontId="0" fillId="0" borderId="8" xfId="0" applyFill="1" applyBorder="1" applyProtection="1">
      <protection/>
    </xf>
    <xf numFmtId="43" fontId="2" fillId="0" borderId="8" xfId="18" applyFont="1" applyFill="1" applyBorder="1" applyAlignment="1" applyProtection="1">
      <alignment horizontal="right" vertical="center"/>
      <protection/>
    </xf>
    <xf numFmtId="43" fontId="0" fillId="0" borderId="8" xfId="18" applyFont="1" applyFill="1" applyBorder="1" applyAlignment="1" applyProtection="1">
      <alignment horizontal="right"/>
      <protection/>
    </xf>
    <xf numFmtId="0" fontId="0" fillId="0" borderId="9" xfId="0" applyFont="1" applyFill="1" applyBorder="1" applyProtection="1"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43" fontId="1" fillId="2" borderId="10" xfId="18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43" fontId="4" fillId="2" borderId="10" xfId="18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vertical="center" wrapText="1"/>
      <protection/>
    </xf>
    <xf numFmtId="43" fontId="1" fillId="2" borderId="10" xfId="18" applyFont="1" applyFill="1" applyBorder="1" applyAlignment="1" applyProtection="1">
      <alignment horizontal="right" vertical="center" wrapText="1"/>
      <protection/>
    </xf>
    <xf numFmtId="43" fontId="1" fillId="2" borderId="10" xfId="18" applyFont="1" applyFill="1" applyBorder="1" applyAlignment="1" applyProtection="1">
      <alignment horizontal="center" vertical="center" wrapText="1"/>
      <protection/>
    </xf>
    <xf numFmtId="0" fontId="4" fillId="4" borderId="11" xfId="0" applyFont="1" applyFill="1" applyBorder="1" applyAlignment="1" applyProtection="1">
      <alignment vertical="center" wrapText="1"/>
      <protection/>
    </xf>
    <xf numFmtId="0" fontId="4" fillId="4" borderId="12" xfId="0" applyFont="1" applyFill="1" applyBorder="1" applyAlignment="1" applyProtection="1">
      <alignment vertical="center"/>
      <protection/>
    </xf>
    <xf numFmtId="43" fontId="6" fillId="4" borderId="12" xfId="18" applyFont="1" applyFill="1" applyBorder="1" applyAlignment="1" applyProtection="1">
      <alignment vertical="center"/>
      <protection/>
    </xf>
    <xf numFmtId="0" fontId="0" fillId="0" borderId="13" xfId="0" applyFont="1" applyFill="1" applyBorder="1" applyProtection="1">
      <protection/>
    </xf>
    <xf numFmtId="0" fontId="0" fillId="0" borderId="14" xfId="0" applyFill="1" applyBorder="1" applyProtection="1">
      <protection/>
    </xf>
    <xf numFmtId="43" fontId="2" fillId="0" borderId="14" xfId="18" applyFont="1" applyFill="1" applyBorder="1" applyAlignment="1" applyProtection="1">
      <alignment horizontal="right" vertical="center"/>
      <protection/>
    </xf>
    <xf numFmtId="43" fontId="0" fillId="0" borderId="14" xfId="18" applyFont="1" applyFill="1" applyBorder="1" applyAlignment="1" applyProtection="1">
      <alignment horizontal="right"/>
      <protection/>
    </xf>
    <xf numFmtId="0" fontId="0" fillId="0" borderId="15" xfId="0" applyFont="1" applyFill="1" applyBorder="1" applyProtection="1"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43" fontId="1" fillId="14" borderId="16" xfId="18" applyFont="1" applyFill="1" applyBorder="1" applyAlignment="1" applyProtection="1">
      <alignment horizontal="center" vertical="center"/>
      <protection/>
    </xf>
    <xf numFmtId="0" fontId="0" fillId="6" borderId="15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165" fontId="6" fillId="14" borderId="16" xfId="15" applyNumberFormat="1" applyFont="1" applyFill="1" applyBorder="1" applyAlignment="1" applyProtection="1">
      <alignment horizontal="center" vertical="center" wrapText="1"/>
      <protection/>
    </xf>
    <xf numFmtId="0" fontId="0" fillId="6" borderId="15" xfId="0" applyFill="1" applyBorder="1" applyProtection="1">
      <protection/>
    </xf>
    <xf numFmtId="0" fontId="0" fillId="0" borderId="15" xfId="0" applyBorder="1" applyProtection="1">
      <protection/>
    </xf>
    <xf numFmtId="0" fontId="1" fillId="14" borderId="16" xfId="0" applyFont="1" applyFill="1" applyBorder="1" applyProtection="1">
      <protection/>
    </xf>
    <xf numFmtId="0" fontId="4" fillId="6" borderId="15" xfId="0" applyFont="1" applyFill="1" applyBorder="1" applyProtection="1">
      <protection/>
    </xf>
    <xf numFmtId="0" fontId="0" fillId="0" borderId="17" xfId="0" applyBorder="1" applyProtection="1">
      <protection/>
    </xf>
    <xf numFmtId="0" fontId="0" fillId="0" borderId="18" xfId="0" applyFill="1" applyBorder="1" applyProtection="1">
      <protection/>
    </xf>
    <xf numFmtId="0" fontId="0" fillId="3" borderId="18" xfId="0" applyFill="1" applyBorder="1" applyProtection="1">
      <protection/>
    </xf>
    <xf numFmtId="164" fontId="0" fillId="3" borderId="18" xfId="18" applyNumberFormat="1" applyFill="1" applyBorder="1" applyProtection="1">
      <protection/>
    </xf>
    <xf numFmtId="164" fontId="0" fillId="0" borderId="18" xfId="18" applyNumberFormat="1" applyFill="1" applyBorder="1" applyProtection="1">
      <protection/>
    </xf>
    <xf numFmtId="164" fontId="0" fillId="15" borderId="18" xfId="18" applyNumberFormat="1" applyFill="1" applyBorder="1" applyProtection="1">
      <protection/>
    </xf>
    <xf numFmtId="164" fontId="0" fillId="13" borderId="18" xfId="18" applyNumberFormat="1" applyFill="1" applyBorder="1" applyProtection="1">
      <protection/>
    </xf>
    <xf numFmtId="0" fontId="0" fillId="8" borderId="18" xfId="0" applyFill="1" applyBorder="1" applyProtection="1">
      <protection/>
    </xf>
    <xf numFmtId="0" fontId="0" fillId="10" borderId="18" xfId="0" applyFill="1" applyBorder="1" applyProtection="1">
      <protection/>
    </xf>
    <xf numFmtId="0" fontId="0" fillId="9" borderId="18" xfId="0" applyFill="1" applyBorder="1" applyProtection="1">
      <protection/>
    </xf>
    <xf numFmtId="0" fontId="0" fillId="14" borderId="18" xfId="0" applyFill="1" applyBorder="1" applyProtection="1">
      <protection/>
    </xf>
    <xf numFmtId="0" fontId="0" fillId="14" borderId="19" xfId="0" applyFill="1" applyBorder="1" applyProtection="1"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right" vertical="center"/>
      <protection/>
    </xf>
    <xf numFmtId="6" fontId="16" fillId="0" borderId="20" xfId="16" applyNumberFormat="1" applyFont="1" applyFill="1" applyBorder="1" applyAlignment="1" applyProtection="1">
      <alignment horizontal="center" vertical="center"/>
      <protection locked="0"/>
    </xf>
    <xf numFmtId="6" fontId="16" fillId="0" borderId="21" xfId="16" applyNumberFormat="1" applyFont="1" applyFill="1" applyBorder="1" applyAlignment="1" applyProtection="1">
      <alignment horizontal="center"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  <protection locked="0"/>
    </xf>
    <xf numFmtId="164" fontId="17" fillId="0" borderId="0" xfId="18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43" fontId="0" fillId="0" borderId="0" xfId="18" applyFont="1" applyAlignment="1" applyProtection="1">
      <alignment horizontal="center"/>
      <protection/>
    </xf>
    <xf numFmtId="166" fontId="0" fillId="0" borderId="0" xfId="18" applyNumberFormat="1" applyFont="1" applyProtection="1"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Font="1" applyProtection="1">
      <protection/>
    </xf>
    <xf numFmtId="43" fontId="0" fillId="0" borderId="0" xfId="18" applyFont="1" applyProtection="1">
      <protection/>
    </xf>
    <xf numFmtId="43" fontId="0" fillId="0" borderId="0" xfId="18" applyFont="1"/>
    <xf numFmtId="2" fontId="0" fillId="0" borderId="0" xfId="0" applyNumberFormat="1" applyProtection="1">
      <protection/>
    </xf>
    <xf numFmtId="168" fontId="0" fillId="0" borderId="0" xfId="18" applyNumberFormat="1" applyFont="1" applyProtection="1">
      <protection/>
    </xf>
    <xf numFmtId="168" fontId="0" fillId="0" borderId="0" xfId="18" applyNumberFormat="1" applyFont="1" applyProtection="1"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6" fontId="12" fillId="0" borderId="0" xfId="16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164" fontId="0" fillId="0" borderId="0" xfId="18" applyNumberFormat="1" applyFill="1" applyBorder="1" applyAlignment="1" applyProtection="1">
      <alignment vertical="center"/>
      <protection locked="0"/>
    </xf>
    <xf numFmtId="2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2" fillId="16" borderId="0" xfId="0" applyFont="1" applyFill="1" applyBorder="1" applyAlignment="1" applyProtection="1">
      <alignment horizontal="right" vertical="center"/>
      <protection locked="0"/>
    </xf>
    <xf numFmtId="0" fontId="0" fillId="16" borderId="0" xfId="0" applyFont="1" applyFill="1" applyBorder="1" applyAlignment="1" applyProtection="1">
      <alignment horizontal="right" vertical="center"/>
      <protection locked="0"/>
    </xf>
    <xf numFmtId="167" fontId="0" fillId="1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" fillId="0" borderId="0" xfId="18" applyFont="1" applyFill="1" applyBorder="1" applyAlignment="1" applyProtection="1">
      <alignment horizontal="right" vertical="center"/>
      <protection locked="0"/>
    </xf>
    <xf numFmtId="43" fontId="2" fillId="0" borderId="0" xfId="18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0" fontId="1" fillId="16" borderId="0" xfId="0" applyFont="1" applyFill="1" applyBorder="1" applyAlignment="1" applyProtection="1">
      <alignment horizontal="center" vertical="center" wrapText="1"/>
      <protection locked="0"/>
    </xf>
    <xf numFmtId="0" fontId="1" fillId="16" borderId="0" xfId="0" applyFont="1" applyFill="1" applyBorder="1" applyAlignment="1" applyProtection="1">
      <alignment vertical="center"/>
      <protection locked="0"/>
    </xf>
    <xf numFmtId="43" fontId="1" fillId="16" borderId="0" xfId="18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Border="1" applyAlignment="1" applyProtection="1">
      <alignment horizontal="right" vertical="center"/>
      <protection locked="0"/>
    </xf>
    <xf numFmtId="0" fontId="16" fillId="16" borderId="0" xfId="0" applyFont="1" applyFill="1" applyBorder="1" applyAlignment="1" applyProtection="1">
      <alignment/>
      <protection locked="0"/>
    </xf>
    <xf numFmtId="164" fontId="0" fillId="16" borderId="0" xfId="18" applyNumberFormat="1" applyFill="1" applyBorder="1" applyAlignment="1" applyProtection="1">
      <alignment/>
      <protection locked="0"/>
    </xf>
    <xf numFmtId="43" fontId="0" fillId="16" borderId="0" xfId="18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16" borderId="0" xfId="18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8" applyNumberFormat="1" applyBorder="1" applyProtection="1">
      <protection locked="0"/>
    </xf>
    <xf numFmtId="164" fontId="0" fillId="0" borderId="0" xfId="18" applyNumberFormat="1" applyFill="1" applyBorder="1" applyProtection="1">
      <protection locked="0"/>
    </xf>
    <xf numFmtId="0" fontId="2" fillId="0" borderId="0" xfId="18" applyNumberFormat="1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43" fontId="0" fillId="0" borderId="0" xfId="18" applyProtection="1">
      <protection locked="0"/>
    </xf>
    <xf numFmtId="166" fontId="0" fillId="0" borderId="0" xfId="18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16" borderId="0" xfId="18" applyNumberFormat="1" applyFont="1" applyFill="1" applyBorder="1" applyAlignment="1" applyProtection="1" quotePrefix="1">
      <alignment horizontal="left" vertical="center" wrapText="1"/>
      <protection locked="0"/>
    </xf>
    <xf numFmtId="0" fontId="0" fillId="16" borderId="0" xfId="18" applyNumberFormat="1" applyFont="1" applyFill="1" applyBorder="1" applyAlignment="1" applyProtection="1">
      <alignment horizontal="left" vertical="center" wrapText="1"/>
      <protection locked="0"/>
    </xf>
    <xf numFmtId="2" fontId="2" fillId="1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3" fontId="1" fillId="16" borderId="0" xfId="1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2" fontId="0" fillId="16" borderId="0" xfId="0" applyNumberFormat="1" applyFont="1" applyFill="1" applyBorder="1" applyAlignment="1" applyProtection="1">
      <alignment horizontal="center" vertical="center"/>
      <protection locked="0"/>
    </xf>
    <xf numFmtId="2" fontId="0" fillId="14" borderId="25" xfId="0" applyNumberFormat="1" applyFont="1" applyFill="1" applyBorder="1" applyAlignment="1" applyProtection="1">
      <alignment horizontal="center" vertical="center"/>
      <protection locked="0"/>
    </xf>
    <xf numFmtId="2" fontId="0" fillId="14" borderId="26" xfId="0" applyNumberFormat="1" applyFont="1" applyFill="1" applyBorder="1" applyAlignment="1" applyProtection="1">
      <alignment horizontal="center" vertical="center"/>
      <protection locked="0"/>
    </xf>
    <xf numFmtId="2" fontId="0" fillId="14" borderId="27" xfId="0" applyNumberFormat="1" applyFont="1" applyFill="1" applyBorder="1" applyAlignment="1" applyProtection="1">
      <alignment horizontal="center" vertical="center"/>
      <protection locked="0"/>
    </xf>
    <xf numFmtId="2" fontId="0" fillId="14" borderId="28" xfId="0" applyNumberFormat="1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horizontal="left" vertical="center" indent="2"/>
      <protection locked="0"/>
    </xf>
    <xf numFmtId="0" fontId="13" fillId="11" borderId="29" xfId="18" applyNumberFormat="1" applyFont="1" applyFill="1" applyBorder="1" applyAlignment="1" applyProtection="1">
      <alignment horizontal="center" vertical="center" wrapText="1"/>
      <protection locked="0"/>
    </xf>
    <xf numFmtId="0" fontId="13" fillId="11" borderId="30" xfId="18" applyNumberFormat="1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18" applyNumberFormat="1" applyBorder="1" applyAlignment="1" applyProtection="1">
      <alignment horizontal="center" vertical="center"/>
      <protection locked="0"/>
    </xf>
    <xf numFmtId="164" fontId="0" fillId="0" borderId="0" xfId="18" applyNumberFormat="1" applyFill="1" applyBorder="1" applyAlignment="1" applyProtection="1">
      <alignment horizontal="center" vertical="center"/>
      <protection locked="0"/>
    </xf>
    <xf numFmtId="0" fontId="13" fillId="11" borderId="31" xfId="0" applyFont="1" applyFill="1" applyBorder="1" applyAlignment="1" applyProtection="1">
      <alignment horizontal="center" vertical="center" wrapText="1"/>
      <protection locked="0"/>
    </xf>
    <xf numFmtId="0" fontId="13" fillId="11" borderId="32" xfId="0" applyFont="1" applyFill="1" applyBorder="1" applyAlignment="1" applyProtection="1">
      <alignment horizontal="center" vertical="center" wrapText="1"/>
      <protection locked="0"/>
    </xf>
    <xf numFmtId="44" fontId="18" fillId="0" borderId="0" xfId="18" applyNumberFormat="1" applyFont="1" applyFill="1" applyBorder="1" applyAlignment="1" applyProtection="1">
      <alignment horizontal="center" vertical="center" wrapText="1"/>
      <protection locked="0"/>
    </xf>
    <xf numFmtId="2" fontId="2" fillId="14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 applyAlignment="1" applyProtection="1">
      <alignment horizontal="center" vertical="center"/>
      <protection locked="0"/>
    </xf>
    <xf numFmtId="164" fontId="11" fillId="12" borderId="0" xfId="18" applyNumberFormat="1" applyFont="1" applyFill="1" applyBorder="1" applyAlignment="1" applyProtection="1">
      <alignment horizontal="center" vertical="center"/>
      <protection locked="0"/>
    </xf>
    <xf numFmtId="164" fontId="17" fillId="12" borderId="0" xfId="1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3" fillId="11" borderId="33" xfId="0" applyFont="1" applyFill="1" applyBorder="1" applyAlignment="1" applyProtection="1">
      <alignment horizontal="center" vertical="center" wrapText="1"/>
      <protection locked="0"/>
    </xf>
    <xf numFmtId="43" fontId="2" fillId="0" borderId="0" xfId="18" applyFont="1" applyFill="1" applyBorder="1" applyAlignment="1" applyProtection="1">
      <alignment horizontal="center" vertical="center"/>
      <protection locked="0"/>
    </xf>
    <xf numFmtId="167" fontId="0" fillId="14" borderId="24" xfId="0" applyNumberFormat="1" applyFont="1" applyFill="1" applyBorder="1" applyAlignment="1" applyProtection="1">
      <alignment horizontal="center" vertical="center"/>
      <protection locked="0"/>
    </xf>
    <xf numFmtId="167" fontId="0" fillId="16" borderId="24" xfId="0" applyNumberFormat="1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horizontal="center" vertical="center"/>
      <protection locked="0"/>
    </xf>
    <xf numFmtId="43" fontId="1" fillId="3" borderId="0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165" fontId="6" fillId="3" borderId="0" xfId="15" applyNumberFormat="1" applyFont="1" applyFill="1" applyBorder="1" applyAlignment="1" applyProtection="1">
      <alignment horizontal="right"/>
      <protection/>
    </xf>
    <xf numFmtId="43" fontId="1" fillId="15" borderId="0" xfId="18" applyNumberFormat="1" applyFont="1" applyFill="1" applyBorder="1" applyAlignment="1" applyProtection="1">
      <alignment horizontal="center"/>
      <protection/>
    </xf>
    <xf numFmtId="43" fontId="1" fillId="13" borderId="0" xfId="18" applyNumberFormat="1" applyFont="1" applyFill="1" applyBorder="1" applyAlignment="1" applyProtection="1">
      <alignment horizontal="center"/>
      <protection/>
    </xf>
    <xf numFmtId="43" fontId="1" fillId="8" borderId="0" xfId="0" applyNumberFormat="1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 applyProtection="1">
      <alignment horizontal="center"/>
      <protection/>
    </xf>
    <xf numFmtId="43" fontId="1" fillId="10" borderId="0" xfId="0" applyNumberFormat="1" applyFont="1" applyFill="1" applyBorder="1" applyAlignment="1" applyProtection="1">
      <alignment horizontal="center"/>
      <protection/>
    </xf>
    <xf numFmtId="0" fontId="1" fillId="10" borderId="0" xfId="0" applyFont="1" applyFill="1" applyBorder="1" applyAlignment="1" applyProtection="1">
      <alignment horizontal="center"/>
      <protection/>
    </xf>
    <xf numFmtId="43" fontId="1" fillId="9" borderId="0" xfId="0" applyNumberFormat="1" applyFont="1" applyFill="1" applyBorder="1" applyAlignment="1" applyProtection="1">
      <alignment horizontal="center"/>
      <protection/>
    </xf>
    <xf numFmtId="0" fontId="1" fillId="9" borderId="0" xfId="0" applyFont="1" applyFill="1" applyBorder="1" applyAlignment="1" applyProtection="1">
      <alignment horizontal="center"/>
      <protection/>
    </xf>
    <xf numFmtId="43" fontId="1" fillId="14" borderId="0" xfId="0" applyNumberFormat="1" applyFont="1" applyFill="1" applyBorder="1" applyAlignment="1" applyProtection="1">
      <alignment horizontal="center"/>
      <protection/>
    </xf>
    <xf numFmtId="0" fontId="1" fillId="14" borderId="0" xfId="0" applyFont="1" applyFill="1" applyBorder="1" applyAlignment="1" applyProtection="1">
      <alignment horizontal="center"/>
      <protection/>
    </xf>
    <xf numFmtId="0" fontId="1" fillId="14" borderId="16" xfId="0" applyFont="1" applyFill="1" applyBorder="1" applyAlignment="1" applyProtection="1">
      <alignment horizontal="center"/>
      <protection/>
    </xf>
    <xf numFmtId="165" fontId="6" fillId="15" borderId="0" xfId="15" applyNumberFormat="1" applyFont="1" applyFill="1" applyBorder="1" applyAlignment="1" applyProtection="1">
      <alignment horizontal="right"/>
      <protection/>
    </xf>
    <xf numFmtId="165" fontId="6" fillId="13" borderId="0" xfId="15" applyNumberFormat="1" applyFont="1" applyFill="1" applyBorder="1" applyAlignment="1" applyProtection="1">
      <alignment horizontal="right"/>
      <protection/>
    </xf>
    <xf numFmtId="165" fontId="6" fillId="8" borderId="0" xfId="15" applyNumberFormat="1" applyFont="1" applyFill="1" applyBorder="1" applyAlignment="1" applyProtection="1">
      <alignment horizontal="right"/>
      <protection/>
    </xf>
    <xf numFmtId="165" fontId="6" fillId="10" borderId="0" xfId="15" applyNumberFormat="1" applyFont="1" applyFill="1" applyBorder="1" applyAlignment="1" applyProtection="1">
      <alignment horizontal="right"/>
      <protection/>
    </xf>
    <xf numFmtId="9" fontId="6" fillId="9" borderId="0" xfId="15" applyFont="1" applyFill="1" applyBorder="1" applyAlignment="1" applyProtection="1">
      <alignment horizontal="right"/>
      <protection/>
    </xf>
    <xf numFmtId="165" fontId="6" fillId="14" borderId="0" xfId="15" applyNumberFormat="1" applyFont="1" applyFill="1" applyBorder="1" applyAlignment="1" applyProtection="1">
      <alignment horizontal="right"/>
      <protection/>
    </xf>
    <xf numFmtId="165" fontId="6" fillId="14" borderId="16" xfId="15" applyNumberFormat="1" applyFont="1" applyFill="1" applyBorder="1" applyAlignment="1" applyProtection="1">
      <alignment horizontal="right"/>
      <protection/>
    </xf>
    <xf numFmtId="43" fontId="2" fillId="9" borderId="8" xfId="18" applyFont="1" applyFill="1" applyBorder="1" applyAlignment="1" applyProtection="1">
      <alignment horizontal="right" vertical="center"/>
      <protection/>
    </xf>
    <xf numFmtId="43" fontId="1" fillId="2" borderId="6" xfId="18" applyFont="1" applyFill="1" applyBorder="1" applyAlignment="1" applyProtection="1">
      <alignment horizontal="right" vertical="center" wrapText="1"/>
      <protection/>
    </xf>
    <xf numFmtId="43" fontId="1" fillId="2" borderId="34" xfId="18" applyFont="1" applyFill="1" applyBorder="1" applyAlignment="1" applyProtection="1">
      <alignment horizontal="right" vertical="center" wrapText="1"/>
      <protection/>
    </xf>
    <xf numFmtId="43" fontId="2" fillId="9" borderId="0" xfId="18" applyFont="1" applyFill="1" applyBorder="1" applyAlignment="1" applyProtection="1">
      <alignment horizontal="center" vertical="center"/>
      <protection/>
    </xf>
    <xf numFmtId="43" fontId="0" fillId="3" borderId="8" xfId="18" applyFont="1" applyFill="1" applyBorder="1" applyAlignment="1" applyProtection="1">
      <alignment horizontal="right"/>
      <protection/>
    </xf>
    <xf numFmtId="43" fontId="2" fillId="7" borderId="8" xfId="18" applyFont="1" applyFill="1" applyBorder="1" applyAlignment="1" applyProtection="1">
      <alignment horizontal="right" vertical="center"/>
      <protection/>
    </xf>
    <xf numFmtId="43" fontId="2" fillId="13" borderId="8" xfId="18" applyFont="1" applyFill="1" applyBorder="1" applyAlignment="1" applyProtection="1">
      <alignment horizontal="right" vertical="center"/>
      <protection/>
    </xf>
    <xf numFmtId="43" fontId="2" fillId="8" borderId="8" xfId="18" applyFont="1" applyFill="1" applyBorder="1" applyAlignment="1" applyProtection="1">
      <alignment horizontal="right" vertical="center"/>
      <protection/>
    </xf>
    <xf numFmtId="43" fontId="2" fillId="10" borderId="8" xfId="18" applyFont="1" applyFill="1" applyBorder="1" applyAlignment="1" applyProtection="1">
      <alignment horizontal="right" vertical="center"/>
      <protection/>
    </xf>
    <xf numFmtId="43" fontId="2" fillId="2" borderId="8" xfId="18" applyFont="1" applyFill="1" applyBorder="1" applyAlignment="1" applyProtection="1">
      <alignment horizontal="right" vertical="center"/>
      <protection/>
    </xf>
    <xf numFmtId="43" fontId="2" fillId="2" borderId="35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center" vertical="center"/>
      <protection/>
    </xf>
    <xf numFmtId="43" fontId="1" fillId="3" borderId="6" xfId="18" applyFont="1" applyFill="1" applyBorder="1" applyAlignment="1" applyProtection="1">
      <alignment horizontal="right" vertical="center"/>
      <protection/>
    </xf>
    <xf numFmtId="43" fontId="1" fillId="7" borderId="6" xfId="18" applyFont="1" applyFill="1" applyBorder="1" applyAlignment="1" applyProtection="1">
      <alignment horizontal="right" vertical="center"/>
      <protection/>
    </xf>
    <xf numFmtId="43" fontId="1" fillId="13" borderId="6" xfId="18" applyFont="1" applyFill="1" applyBorder="1" applyAlignment="1" applyProtection="1">
      <alignment horizontal="right" vertical="center"/>
      <protection/>
    </xf>
    <xf numFmtId="43" fontId="1" fillId="8" borderId="6" xfId="18" applyFont="1" applyFill="1" applyBorder="1" applyAlignment="1" applyProtection="1">
      <alignment horizontal="right" vertical="center"/>
      <protection/>
    </xf>
    <xf numFmtId="43" fontId="1" fillId="10" borderId="6" xfId="18" applyFont="1" applyFill="1" applyBorder="1" applyAlignment="1" applyProtection="1">
      <alignment horizontal="right" vertical="center"/>
      <protection/>
    </xf>
    <xf numFmtId="43" fontId="1" fillId="9" borderId="6" xfId="18" applyFont="1" applyFill="1" applyBorder="1" applyAlignment="1" applyProtection="1">
      <alignment horizontal="right" vertical="center"/>
      <protection/>
    </xf>
    <xf numFmtId="43" fontId="1" fillId="3" borderId="0" xfId="18" applyFont="1" applyFill="1" applyBorder="1" applyAlignment="1" applyProtection="1">
      <alignment horizontal="center" vertical="center"/>
      <protection/>
    </xf>
    <xf numFmtId="43" fontId="0" fillId="3" borderId="0" xfId="18" applyFont="1" applyFill="1" applyBorder="1" applyAlignment="1" applyProtection="1">
      <alignment horizontal="right"/>
      <protection/>
    </xf>
    <xf numFmtId="43" fontId="2" fillId="7" borderId="0" xfId="18" applyFont="1" applyFill="1" applyBorder="1" applyAlignment="1" applyProtection="1">
      <alignment horizontal="center" vertical="center"/>
      <protection/>
    </xf>
    <xf numFmtId="43" fontId="2" fillId="7" borderId="2" xfId="18" applyFont="1" applyFill="1" applyBorder="1" applyAlignment="1" applyProtection="1">
      <alignment horizontal="right" vertical="center"/>
      <protection/>
    </xf>
    <xf numFmtId="43" fontId="2" fillId="2" borderId="2" xfId="18" applyFont="1" applyFill="1" applyBorder="1" applyAlignment="1" applyProtection="1">
      <alignment horizontal="right" vertical="center"/>
      <protection/>
    </xf>
    <xf numFmtId="43" fontId="2" fillId="2" borderId="36" xfId="18" applyFont="1" applyFill="1" applyBorder="1" applyAlignment="1" applyProtection="1">
      <alignment horizontal="right" vertical="center"/>
      <protection/>
    </xf>
    <xf numFmtId="0" fontId="1" fillId="3" borderId="37" xfId="0" applyFont="1" applyFill="1" applyBorder="1" applyAlignment="1" applyProtection="1">
      <alignment horizontal="center"/>
      <protection/>
    </xf>
    <xf numFmtId="0" fontId="1" fillId="3" borderId="38" xfId="0" applyFont="1" applyFill="1" applyBorder="1" applyAlignment="1" applyProtection="1">
      <alignment horizontal="center"/>
      <protection/>
    </xf>
    <xf numFmtId="0" fontId="1" fillId="3" borderId="39" xfId="0" applyFont="1" applyFill="1" applyBorder="1" applyAlignment="1" applyProtection="1">
      <alignment horizontal="center"/>
      <protection/>
    </xf>
    <xf numFmtId="0" fontId="3" fillId="7" borderId="40" xfId="0" applyFont="1" applyFill="1" applyBorder="1" applyAlignment="1" applyProtection="1">
      <alignment horizontal="center" vertical="center"/>
      <protection/>
    </xf>
    <xf numFmtId="0" fontId="3" fillId="7" borderId="41" xfId="0" applyFont="1" applyFill="1" applyBorder="1" applyAlignment="1" applyProtection="1">
      <alignment horizontal="center" vertical="center"/>
      <protection/>
    </xf>
    <xf numFmtId="0" fontId="3" fillId="7" borderId="42" xfId="0" applyFont="1" applyFill="1" applyBorder="1" applyAlignment="1" applyProtection="1">
      <alignment horizontal="center" vertical="center"/>
      <protection/>
    </xf>
    <xf numFmtId="0" fontId="3" fillId="7" borderId="43" xfId="0" applyFont="1" applyFill="1" applyBorder="1" applyAlignment="1" applyProtection="1">
      <alignment horizontal="center" vertical="center"/>
      <protection/>
    </xf>
    <xf numFmtId="0" fontId="3" fillId="7" borderId="44" xfId="0" applyFont="1" applyFill="1" applyBorder="1" applyAlignment="1" applyProtection="1">
      <alignment horizontal="center" vertical="center"/>
      <protection/>
    </xf>
    <xf numFmtId="0" fontId="3" fillId="7" borderId="45" xfId="0" applyFont="1" applyFill="1" applyBorder="1" applyAlignment="1" applyProtection="1">
      <alignment horizontal="center" vertical="center"/>
      <protection/>
    </xf>
    <xf numFmtId="0" fontId="3" fillId="10" borderId="46" xfId="0" applyFont="1" applyFill="1" applyBorder="1" applyAlignment="1" applyProtection="1">
      <alignment horizontal="center" vertical="center"/>
      <protection/>
    </xf>
    <xf numFmtId="0" fontId="3" fillId="10" borderId="47" xfId="0" applyFont="1" applyFill="1" applyBorder="1" applyAlignment="1" applyProtection="1">
      <alignment horizontal="center" vertical="center"/>
      <protection/>
    </xf>
    <xf numFmtId="0" fontId="3" fillId="10" borderId="48" xfId="0" applyFont="1" applyFill="1" applyBorder="1" applyAlignment="1" applyProtection="1">
      <alignment horizontal="center" vertical="center"/>
      <protection/>
    </xf>
    <xf numFmtId="43" fontId="0" fillId="13" borderId="0" xfId="18" applyFont="1" applyFill="1" applyBorder="1" applyAlignment="1" applyProtection="1">
      <alignment horizontal="center"/>
      <protection/>
    </xf>
    <xf numFmtId="43" fontId="0" fillId="8" borderId="0" xfId="18" applyFont="1" applyFill="1" applyBorder="1" applyAlignment="1" applyProtection="1">
      <alignment horizontal="center"/>
      <protection/>
    </xf>
    <xf numFmtId="43" fontId="0" fillId="3" borderId="0" xfId="18" applyFont="1" applyFill="1" applyBorder="1" applyAlignment="1" applyProtection="1">
      <alignment horizontal="center"/>
      <protection/>
    </xf>
    <xf numFmtId="43" fontId="2" fillId="7" borderId="0" xfId="18" applyFont="1" applyFill="1" applyBorder="1" applyAlignment="1" applyProtection="1">
      <alignment horizontal="right" vertical="center"/>
      <protection/>
    </xf>
    <xf numFmtId="43" fontId="2" fillId="13" borderId="0" xfId="18" applyFont="1" applyFill="1" applyBorder="1" applyAlignment="1" applyProtection="1">
      <alignment horizontal="right" vertical="center"/>
      <protection/>
    </xf>
    <xf numFmtId="43" fontId="2" fillId="8" borderId="0" xfId="18" applyFont="1" applyFill="1" applyBorder="1" applyAlignment="1" applyProtection="1">
      <alignment horizontal="right" vertical="center"/>
      <protection/>
    </xf>
    <xf numFmtId="43" fontId="0" fillId="7" borderId="0" xfId="18" applyFont="1" applyFill="1" applyBorder="1" applyAlignment="1" applyProtection="1">
      <alignment horizontal="center"/>
      <protection/>
    </xf>
    <xf numFmtId="43" fontId="0" fillId="10" borderId="0" xfId="18" applyFont="1" applyFill="1" applyBorder="1" applyAlignment="1" applyProtection="1">
      <alignment horizontal="center"/>
      <protection/>
    </xf>
    <xf numFmtId="0" fontId="3" fillId="9" borderId="49" xfId="0" applyFont="1" applyFill="1" applyBorder="1" applyAlignment="1" applyProtection="1">
      <alignment horizontal="center" vertical="center"/>
      <protection/>
    </xf>
    <xf numFmtId="0" fontId="3" fillId="9" borderId="50" xfId="0" applyFont="1" applyFill="1" applyBorder="1" applyAlignment="1" applyProtection="1">
      <alignment horizontal="center" vertical="center"/>
      <protection/>
    </xf>
    <xf numFmtId="0" fontId="3" fillId="9" borderId="51" xfId="0" applyFont="1" applyFill="1" applyBorder="1" applyAlignment="1" applyProtection="1">
      <alignment horizontal="center" vertical="center"/>
      <protection/>
    </xf>
    <xf numFmtId="0" fontId="3" fillId="13" borderId="52" xfId="0" applyFont="1" applyFill="1" applyBorder="1" applyAlignment="1" applyProtection="1">
      <alignment horizontal="center" vertical="center"/>
      <protection/>
    </xf>
    <xf numFmtId="0" fontId="3" fillId="13" borderId="53" xfId="0" applyFont="1" applyFill="1" applyBorder="1" applyAlignment="1" applyProtection="1">
      <alignment horizontal="center" vertical="center"/>
      <protection/>
    </xf>
    <xf numFmtId="0" fontId="3" fillId="13" borderId="54" xfId="0" applyFont="1" applyFill="1" applyBorder="1" applyAlignment="1" applyProtection="1">
      <alignment horizontal="center" vertical="center"/>
      <protection/>
    </xf>
    <xf numFmtId="43" fontId="2" fillId="10" borderId="2" xfId="18" applyFont="1" applyFill="1" applyBorder="1" applyAlignment="1" applyProtection="1">
      <alignment horizontal="right" vertical="center"/>
      <protection/>
    </xf>
    <xf numFmtId="43" fontId="0" fillId="9" borderId="0" xfId="18" applyFont="1" applyFill="1" applyBorder="1" applyAlignment="1" applyProtection="1">
      <alignment horizontal="center"/>
      <protection/>
    </xf>
    <xf numFmtId="0" fontId="3" fillId="10" borderId="55" xfId="0" applyFont="1" applyFill="1" applyBorder="1" applyAlignment="1" applyProtection="1">
      <alignment horizontal="center" vertical="center"/>
      <protection/>
    </xf>
    <xf numFmtId="0" fontId="3" fillId="10" borderId="56" xfId="0" applyFont="1" applyFill="1" applyBorder="1" applyAlignment="1" applyProtection="1">
      <alignment horizontal="center" vertical="center"/>
      <protection/>
    </xf>
    <xf numFmtId="0" fontId="3" fillId="10" borderId="57" xfId="0" applyFont="1" applyFill="1" applyBorder="1" applyAlignment="1" applyProtection="1">
      <alignment horizontal="center" vertical="center"/>
      <protection/>
    </xf>
    <xf numFmtId="0" fontId="3" fillId="9" borderId="58" xfId="0" applyFont="1" applyFill="1" applyBorder="1" applyAlignment="1" applyProtection="1">
      <alignment horizontal="center" vertical="center"/>
      <protection/>
    </xf>
    <xf numFmtId="0" fontId="3" fillId="9" borderId="59" xfId="0" applyFont="1" applyFill="1" applyBorder="1" applyAlignment="1" applyProtection="1">
      <alignment horizontal="center" vertical="center"/>
      <protection/>
    </xf>
    <xf numFmtId="0" fontId="3" fillId="9" borderId="60" xfId="0" applyFont="1" applyFill="1" applyBorder="1" applyAlignment="1" applyProtection="1">
      <alignment horizontal="center" vertical="center"/>
      <protection/>
    </xf>
    <xf numFmtId="0" fontId="3" fillId="13" borderId="61" xfId="0" applyFont="1" applyFill="1" applyBorder="1" applyAlignment="1" applyProtection="1">
      <alignment horizontal="center" vertical="center"/>
      <protection/>
    </xf>
    <xf numFmtId="0" fontId="3" fillId="13" borderId="62" xfId="0" applyFont="1" applyFill="1" applyBorder="1" applyAlignment="1" applyProtection="1">
      <alignment horizontal="center" vertical="center"/>
      <protection/>
    </xf>
    <xf numFmtId="0" fontId="3" fillId="13" borderId="63" xfId="0" applyFont="1" applyFill="1" applyBorder="1" applyAlignment="1" applyProtection="1">
      <alignment horizontal="center" vertical="center"/>
      <protection/>
    </xf>
    <xf numFmtId="43" fontId="2" fillId="13" borderId="2" xfId="18" applyFont="1" applyFill="1" applyBorder="1" applyAlignment="1" applyProtection="1">
      <alignment horizontal="right" vertical="center"/>
      <protection/>
    </xf>
    <xf numFmtId="43" fontId="2" fillId="8" borderId="2" xfId="18" applyFont="1" applyFill="1" applyBorder="1" applyAlignment="1" applyProtection="1">
      <alignment horizontal="right" vertical="center"/>
      <protection/>
    </xf>
    <xf numFmtId="0" fontId="3" fillId="8" borderId="64" xfId="0" applyFont="1" applyFill="1" applyBorder="1" applyAlignment="1" applyProtection="1">
      <alignment horizontal="center" vertical="center"/>
      <protection/>
    </xf>
    <xf numFmtId="0" fontId="3" fillId="8" borderId="65" xfId="0" applyFont="1" applyFill="1" applyBorder="1" applyAlignment="1" applyProtection="1">
      <alignment horizontal="center" vertical="center"/>
      <protection/>
    </xf>
    <xf numFmtId="0" fontId="3" fillId="8" borderId="66" xfId="0" applyFont="1" applyFill="1" applyBorder="1" applyAlignment="1" applyProtection="1">
      <alignment horizontal="center" vertical="center"/>
      <protection/>
    </xf>
    <xf numFmtId="43" fontId="0" fillId="2" borderId="0" xfId="18" applyFont="1" applyFill="1" applyBorder="1" applyAlignment="1" applyProtection="1">
      <alignment horizontal="center"/>
      <protection/>
    </xf>
    <xf numFmtId="43" fontId="0" fillId="2" borderId="4" xfId="18" applyFont="1" applyFill="1" applyBorder="1" applyAlignment="1" applyProtection="1">
      <alignment horizontal="center"/>
      <protection/>
    </xf>
    <xf numFmtId="43" fontId="2" fillId="2" borderId="0" xfId="18" applyFont="1" applyFill="1" applyBorder="1" applyAlignment="1" applyProtection="1">
      <alignment horizontal="right" vertical="center"/>
      <protection/>
    </xf>
    <xf numFmtId="43" fontId="2" fillId="2" borderId="4" xfId="18" applyFont="1" applyFill="1" applyBorder="1" applyAlignment="1" applyProtection="1">
      <alignment horizontal="right" vertical="center"/>
      <protection/>
    </xf>
    <xf numFmtId="43" fontId="2" fillId="10" borderId="0" xfId="18" applyFont="1" applyFill="1" applyBorder="1" applyAlignment="1" applyProtection="1">
      <alignment horizontal="right" vertical="center"/>
      <protection/>
    </xf>
    <xf numFmtId="43" fontId="2" fillId="9" borderId="0" xfId="18" applyFont="1" applyFill="1" applyBorder="1" applyAlignment="1" applyProtection="1">
      <alignment horizontal="right" vertical="center"/>
      <protection/>
    </xf>
    <xf numFmtId="0" fontId="13" fillId="11" borderId="0" xfId="0" applyFont="1" applyFill="1" applyBorder="1" applyAlignment="1" applyProtection="1">
      <alignment horizontal="center" vertical="center" wrapText="1"/>
      <protection/>
    </xf>
    <xf numFmtId="0" fontId="13" fillId="11" borderId="0" xfId="0" applyFont="1" applyFill="1" applyBorder="1" applyAlignment="1" applyProtection="1">
      <alignment horizontal="center" vertical="center"/>
      <protection/>
    </xf>
    <xf numFmtId="44" fontId="20" fillId="0" borderId="0" xfId="18" applyNumberFormat="1" applyFont="1" applyFill="1" applyBorder="1" applyAlignment="1" applyProtection="1">
      <alignment horizontal="center" vertical="center" wrapText="1"/>
      <protection/>
    </xf>
    <xf numFmtId="43" fontId="0" fillId="3" borderId="2" xfId="18" applyFont="1" applyFill="1" applyBorder="1" applyAlignment="1" applyProtection="1">
      <alignment horizontal="right"/>
      <protection/>
    </xf>
    <xf numFmtId="43" fontId="2" fillId="9" borderId="2" xfId="18" applyFont="1" applyFill="1" applyBorder="1" applyAlignment="1" applyProtection="1">
      <alignment horizontal="right" vertical="center"/>
      <protection/>
    </xf>
    <xf numFmtId="0" fontId="3" fillId="2" borderId="67" xfId="0" applyFont="1" applyFill="1" applyBorder="1" applyAlignment="1" applyProtection="1">
      <alignment horizontal="center" vertical="center"/>
      <protection/>
    </xf>
    <xf numFmtId="0" fontId="3" fillId="2" borderId="68" xfId="0" applyFont="1" applyFill="1" applyBorder="1" applyAlignment="1" applyProtection="1">
      <alignment horizontal="center" vertical="center"/>
      <protection/>
    </xf>
    <xf numFmtId="0" fontId="3" fillId="2" borderId="69" xfId="0" applyFont="1" applyFill="1" applyBorder="1" applyAlignment="1" applyProtection="1">
      <alignment horizontal="center" vertical="center"/>
      <protection/>
    </xf>
    <xf numFmtId="0" fontId="1" fillId="2" borderId="70" xfId="0" applyFont="1" applyFill="1" applyBorder="1" applyAlignment="1" applyProtection="1">
      <alignment horizontal="center"/>
      <protection/>
    </xf>
    <xf numFmtId="0" fontId="1" fillId="2" borderId="71" xfId="0" applyFont="1" applyFill="1" applyBorder="1" applyAlignment="1" applyProtection="1">
      <alignment horizontal="center"/>
      <protection/>
    </xf>
    <xf numFmtId="0" fontId="1" fillId="2" borderId="72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" borderId="73" xfId="0" applyFont="1" applyFill="1" applyBorder="1" applyAlignment="1" applyProtection="1">
      <alignment horizontal="center" vertical="center"/>
      <protection/>
    </xf>
    <xf numFmtId="0" fontId="3" fillId="3" borderId="74" xfId="0" applyFont="1" applyFill="1" applyBorder="1" applyAlignment="1" applyProtection="1">
      <alignment horizontal="center" vertical="center"/>
      <protection/>
    </xf>
    <xf numFmtId="0" fontId="3" fillId="3" borderId="75" xfId="0" applyFont="1" applyFill="1" applyBorder="1" applyAlignment="1" applyProtection="1">
      <alignment horizontal="center" vertical="center"/>
      <protection/>
    </xf>
    <xf numFmtId="0" fontId="3" fillId="8" borderId="76" xfId="0" applyFont="1" applyFill="1" applyBorder="1" applyAlignment="1" applyProtection="1">
      <alignment horizontal="center" vertical="center"/>
      <protection/>
    </xf>
    <xf numFmtId="0" fontId="3" fillId="8" borderId="77" xfId="0" applyFont="1" applyFill="1" applyBorder="1" applyAlignment="1" applyProtection="1">
      <alignment horizontal="center" vertical="center"/>
      <protection/>
    </xf>
    <xf numFmtId="0" fontId="3" fillId="8" borderId="78" xfId="0" applyFont="1" applyFill="1" applyBorder="1" applyAlignment="1" applyProtection="1">
      <alignment horizontal="center" vertical="center"/>
      <protection/>
    </xf>
    <xf numFmtId="43" fontId="2" fillId="13" borderId="0" xfId="18" applyFont="1" applyFill="1" applyBorder="1" applyAlignment="1" applyProtection="1">
      <alignment horizontal="center" vertical="center"/>
      <protection/>
    </xf>
    <xf numFmtId="43" fontId="2" fillId="8" borderId="0" xfId="18" applyFont="1" applyFill="1" applyBorder="1" applyAlignment="1" applyProtection="1">
      <alignment horizontal="center" vertical="center"/>
      <protection/>
    </xf>
    <xf numFmtId="43" fontId="2" fillId="10" borderId="0" xfId="18" applyFont="1" applyFill="1" applyBorder="1" applyAlignment="1" applyProtection="1">
      <alignment horizontal="center" vertical="center"/>
      <protection/>
    </xf>
    <xf numFmtId="43" fontId="1" fillId="13" borderId="0" xfId="18" applyFont="1" applyFill="1" applyBorder="1" applyAlignment="1" applyProtection="1">
      <alignment horizontal="center" vertical="center"/>
      <protection/>
    </xf>
    <xf numFmtId="43" fontId="1" fillId="8" borderId="0" xfId="18" applyFont="1" applyFill="1" applyBorder="1" applyAlignment="1" applyProtection="1">
      <alignment horizontal="center" vertical="center"/>
      <protection/>
    </xf>
    <xf numFmtId="43" fontId="1" fillId="10" borderId="0" xfId="18" applyFont="1" applyFill="1" applyBorder="1" applyAlignment="1" applyProtection="1">
      <alignment horizontal="center" vertical="center"/>
      <protection/>
    </xf>
    <xf numFmtId="43" fontId="1" fillId="9" borderId="0" xfId="18" applyFont="1" applyFill="1" applyBorder="1" applyAlignment="1" applyProtection="1">
      <alignment horizontal="center" vertical="center"/>
      <protection/>
    </xf>
    <xf numFmtId="43" fontId="1" fillId="2" borderId="0" xfId="18" applyFont="1" applyFill="1" applyBorder="1" applyAlignment="1" applyProtection="1">
      <alignment horizontal="center" vertical="center" wrapText="1"/>
      <protection/>
    </xf>
    <xf numFmtId="43" fontId="1" fillId="2" borderId="4" xfId="18" applyFont="1" applyFill="1" applyBorder="1" applyAlignment="1" applyProtection="1">
      <alignment horizontal="center" vertical="center" wrapText="1"/>
      <protection/>
    </xf>
    <xf numFmtId="43" fontId="2" fillId="2" borderId="10" xfId="18" applyFont="1" applyFill="1" applyBorder="1" applyAlignment="1" applyProtection="1">
      <alignment horizontal="right" vertical="center"/>
      <protection/>
    </xf>
    <xf numFmtId="43" fontId="2" fillId="2" borderId="0" xfId="18" applyFont="1" applyFill="1" applyBorder="1" applyAlignment="1" applyProtection="1">
      <alignment horizontal="center" vertical="center"/>
      <protection/>
    </xf>
    <xf numFmtId="43" fontId="2" fillId="2" borderId="10" xfId="18" applyFont="1" applyFill="1" applyBorder="1" applyAlignment="1" applyProtection="1">
      <alignment horizontal="center" vertical="center"/>
      <protection/>
    </xf>
    <xf numFmtId="43" fontId="0" fillId="2" borderId="10" xfId="18" applyFont="1" applyFill="1" applyBorder="1" applyAlignment="1" applyProtection="1">
      <alignment horizontal="center"/>
      <protection/>
    </xf>
    <xf numFmtId="43" fontId="1" fillId="2" borderId="0" xfId="18" applyFont="1" applyFill="1" applyBorder="1" applyAlignment="1" applyProtection="1">
      <alignment horizontal="center" vertical="center"/>
      <protection/>
    </xf>
    <xf numFmtId="43" fontId="1" fillId="2" borderId="10" xfId="18" applyFont="1" applyFill="1" applyBorder="1" applyAlignment="1" applyProtection="1">
      <alignment horizontal="center" vertical="center"/>
      <protection/>
    </xf>
    <xf numFmtId="43" fontId="1" fillId="3" borderId="0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right" vertical="center"/>
      <protection/>
    </xf>
    <xf numFmtId="43" fontId="1" fillId="13" borderId="0" xfId="18" applyFont="1" applyFill="1" applyBorder="1" applyAlignment="1" applyProtection="1">
      <alignment horizontal="right" vertical="center"/>
      <protection/>
    </xf>
    <xf numFmtId="43" fontId="1" fillId="8" borderId="0" xfId="18" applyFont="1" applyFill="1" applyBorder="1" applyAlignment="1" applyProtection="1">
      <alignment horizontal="right" vertical="center"/>
      <protection/>
    </xf>
    <xf numFmtId="43" fontId="1" fillId="10" borderId="0" xfId="18" applyFont="1" applyFill="1" applyBorder="1" applyAlignment="1" applyProtection="1">
      <alignment horizontal="right" vertical="center"/>
      <protection/>
    </xf>
    <xf numFmtId="43" fontId="0" fillId="3" borderId="14" xfId="18" applyFont="1" applyFill="1" applyBorder="1" applyAlignment="1" applyProtection="1">
      <alignment horizontal="right"/>
      <protection/>
    </xf>
    <xf numFmtId="43" fontId="2" fillId="7" borderId="14" xfId="18" applyFont="1" applyFill="1" applyBorder="1" applyAlignment="1" applyProtection="1">
      <alignment horizontal="right" vertical="center"/>
      <protection/>
    </xf>
    <xf numFmtId="43" fontId="2" fillId="13" borderId="14" xfId="18" applyFont="1" applyFill="1" applyBorder="1" applyAlignment="1" applyProtection="1">
      <alignment horizontal="right" vertical="center"/>
      <protection/>
    </xf>
    <xf numFmtId="43" fontId="2" fillId="8" borderId="14" xfId="18" applyFont="1" applyFill="1" applyBorder="1" applyAlignment="1" applyProtection="1">
      <alignment horizontal="right" vertical="center"/>
      <protection/>
    </xf>
    <xf numFmtId="43" fontId="1" fillId="9" borderId="0" xfId="18" applyFont="1" applyFill="1" applyBorder="1" applyAlignment="1" applyProtection="1">
      <alignment horizontal="right" vertical="center"/>
      <protection/>
    </xf>
    <xf numFmtId="43" fontId="1" fillId="2" borderId="0" xfId="18" applyFont="1" applyFill="1" applyBorder="1" applyAlignment="1" applyProtection="1">
      <alignment horizontal="right" vertical="center" wrapText="1"/>
      <protection/>
    </xf>
    <xf numFmtId="43" fontId="1" fillId="2" borderId="10" xfId="18" applyFont="1" applyFill="1" applyBorder="1" applyAlignment="1" applyProtection="1">
      <alignment horizontal="right" vertical="center" wrapText="1"/>
      <protection/>
    </xf>
    <xf numFmtId="165" fontId="6" fillId="3" borderId="12" xfId="15" applyNumberFormat="1" applyFont="1" applyFill="1" applyBorder="1" applyAlignment="1" applyProtection="1">
      <alignment horizontal="right" vertical="center"/>
      <protection/>
    </xf>
    <xf numFmtId="165" fontId="6" fillId="7" borderId="12" xfId="15" applyNumberFormat="1" applyFont="1" applyFill="1" applyBorder="1" applyAlignment="1" applyProtection="1">
      <alignment horizontal="right" vertical="center"/>
      <protection/>
    </xf>
    <xf numFmtId="165" fontId="6" fillId="13" borderId="12" xfId="15" applyNumberFormat="1" applyFont="1" applyFill="1" applyBorder="1" applyAlignment="1" applyProtection="1">
      <alignment horizontal="right" vertical="center"/>
      <protection/>
    </xf>
    <xf numFmtId="165" fontId="6" fillId="8" borderId="12" xfId="15" applyNumberFormat="1" applyFont="1" applyFill="1" applyBorder="1" applyAlignment="1" applyProtection="1">
      <alignment horizontal="right" vertical="center"/>
      <protection/>
    </xf>
    <xf numFmtId="165" fontId="6" fillId="10" borderId="12" xfId="15" applyNumberFormat="1" applyFont="1" applyFill="1" applyBorder="1" applyAlignment="1" applyProtection="1">
      <alignment horizontal="right" vertical="center"/>
      <protection/>
    </xf>
    <xf numFmtId="165" fontId="6" fillId="9" borderId="12" xfId="15" applyNumberFormat="1" applyFont="1" applyFill="1" applyBorder="1" applyAlignment="1" applyProtection="1">
      <alignment horizontal="right" vertical="center"/>
      <protection/>
    </xf>
    <xf numFmtId="43" fontId="2" fillId="2" borderId="14" xfId="18" applyFont="1" applyFill="1" applyBorder="1" applyAlignment="1" applyProtection="1">
      <alignment horizontal="right" vertical="center"/>
      <protection/>
    </xf>
    <xf numFmtId="43" fontId="2" fillId="2" borderId="79" xfId="18" applyFont="1" applyFill="1" applyBorder="1" applyAlignment="1" applyProtection="1">
      <alignment horizontal="right" vertical="center"/>
      <protection/>
    </xf>
    <xf numFmtId="43" fontId="1" fillId="2" borderId="10" xfId="18" applyFont="1" applyFill="1" applyBorder="1" applyAlignment="1" applyProtection="1">
      <alignment horizontal="center" vertical="center" wrapText="1"/>
      <protection/>
    </xf>
    <xf numFmtId="165" fontId="6" fillId="2" borderId="12" xfId="15" applyNumberFormat="1" applyFont="1" applyFill="1" applyBorder="1" applyAlignment="1" applyProtection="1">
      <alignment horizontal="right" vertical="center" wrapText="1"/>
      <protection/>
    </xf>
    <xf numFmtId="165" fontId="6" fillId="2" borderId="80" xfId="15" applyNumberFormat="1" applyFont="1" applyFill="1" applyBorder="1" applyAlignment="1" applyProtection="1">
      <alignment horizontal="right" vertical="center" wrapText="1"/>
      <protection/>
    </xf>
    <xf numFmtId="43" fontId="2" fillId="10" borderId="14" xfId="18" applyFont="1" applyFill="1" applyBorder="1" applyAlignment="1" applyProtection="1">
      <alignment horizontal="right" vertical="center"/>
      <protection/>
    </xf>
    <xf numFmtId="43" fontId="2" fillId="9" borderId="14" xfId="18" applyFont="1" applyFill="1" applyBorder="1" applyAlignment="1" applyProtection="1">
      <alignment horizontal="right" vertical="center"/>
      <protection/>
    </xf>
    <xf numFmtId="43" fontId="2" fillId="2" borderId="16" xfId="18" applyFont="1" applyFill="1" applyBorder="1" applyAlignment="1" applyProtection="1">
      <alignment horizontal="center" vertical="center"/>
      <protection/>
    </xf>
    <xf numFmtId="43" fontId="0" fillId="2" borderId="16" xfId="18" applyFont="1" applyFill="1" applyBorder="1" applyAlignment="1" applyProtection="1">
      <alignment horizontal="center"/>
      <protection/>
    </xf>
    <xf numFmtId="43" fontId="2" fillId="2" borderId="16" xfId="18" applyFont="1" applyFill="1" applyBorder="1" applyAlignment="1" applyProtection="1">
      <alignment horizontal="right" vertical="center"/>
      <protection/>
    </xf>
    <xf numFmtId="43" fontId="1" fillId="14" borderId="0" xfId="18" applyFont="1" applyFill="1" applyBorder="1" applyAlignment="1" applyProtection="1">
      <alignment vertical="center" wrapText="1"/>
      <protection/>
    </xf>
    <xf numFmtId="43" fontId="1" fillId="14" borderId="16" xfId="18" applyFont="1" applyFill="1" applyBorder="1" applyAlignment="1" applyProtection="1">
      <alignment vertical="center" wrapText="1"/>
      <protection/>
    </xf>
    <xf numFmtId="43" fontId="1" fillId="14" borderId="0" xfId="18" applyFont="1" applyFill="1" applyBorder="1" applyAlignment="1" applyProtection="1">
      <alignment horizontal="center" vertical="center"/>
      <protection/>
    </xf>
    <xf numFmtId="43" fontId="1" fillId="14" borderId="16" xfId="18" applyFont="1" applyFill="1" applyBorder="1" applyAlignment="1" applyProtection="1">
      <alignment horizontal="center" vertical="center"/>
      <protection/>
    </xf>
    <xf numFmtId="43" fontId="1" fillId="14" borderId="0" xfId="18" applyFont="1" applyFill="1" applyBorder="1" applyAlignment="1" applyProtection="1">
      <alignment horizontal="right" vertical="center"/>
      <protection/>
    </xf>
    <xf numFmtId="43" fontId="1" fillId="14" borderId="16" xfId="18" applyFont="1" applyFill="1" applyBorder="1" applyAlignment="1" applyProtection="1">
      <alignment horizontal="right" vertical="center"/>
      <protection/>
    </xf>
    <xf numFmtId="43" fontId="0" fillId="14" borderId="0" xfId="18" applyFont="1" applyFill="1" applyBorder="1" applyAlignment="1" applyProtection="1">
      <alignment horizontal="center"/>
      <protection/>
    </xf>
    <xf numFmtId="43" fontId="0" fillId="14" borderId="16" xfId="18" applyFont="1" applyFill="1" applyBorder="1" applyAlignment="1" applyProtection="1">
      <alignment horizontal="center"/>
      <protection/>
    </xf>
    <xf numFmtId="0" fontId="14" fillId="17" borderId="0" xfId="0" applyFont="1" applyFill="1" applyAlignment="1" applyProtection="1">
      <alignment horizontal="center" vertical="center"/>
      <protection/>
    </xf>
    <xf numFmtId="44" fontId="1" fillId="0" borderId="0" xfId="16" applyFont="1" applyAlignment="1" applyProtection="1">
      <alignment horizontal="center" vertical="center" wrapText="1"/>
      <protection/>
    </xf>
    <xf numFmtId="44" fontId="1" fillId="0" borderId="0" xfId="16" applyFont="1" applyAlignment="1" applyProtection="1" quotePrefix="1">
      <alignment horizontal="center" vertical="center" wrapText="1"/>
      <protection/>
    </xf>
    <xf numFmtId="44" fontId="14" fillId="18" borderId="0" xfId="16" applyFont="1" applyFill="1" applyAlignment="1" applyProtection="1">
      <alignment horizontal="center" vertical="center" wrapText="1"/>
      <protection/>
    </xf>
    <xf numFmtId="44" fontId="14" fillId="18" borderId="0" xfId="16" applyFont="1" applyFill="1" applyAlignment="1" applyProtection="1" quotePrefix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0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1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12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13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14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ctrlProps/ctrlProp15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6.xml><?xml version="1.0" encoding="utf-8"?>
<formControlPr xmlns="http://schemas.microsoft.com/office/spreadsheetml/2009/9/main" objectType="Drop" dropStyle="combo" dx="22" fmlaLink="$J$5" fmlaRange="Tables!$B$15:$B$20" sel="1" val="0"/>
</file>

<file path=xl/ctrlProps/ctrlProp17.xml><?xml version="1.0" encoding="utf-8"?>
<formControlPr xmlns="http://schemas.microsoft.com/office/spreadsheetml/2009/9/main" objectType="Drop" dropLines="2" dropStyle="combo" dx="22" fmlaLink="$AE$5" fmlaRange="Tables!$B$41:$B$42" noThreeD="1" sel="1" val="0"/>
</file>

<file path=xl/ctrlProps/ctrlProp18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19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2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20.xml><?xml version="1.0" encoding="utf-8"?>
<formControlPr xmlns="http://schemas.microsoft.com/office/spreadsheetml/2009/9/main" objectType="Drop" dropLines="5" dropStyle="combo" dx="22" fmlaLink="$R$3" fmlaRange="Tables!$B$22:$B$26" noThreeD="1" sel="2" val="0"/>
</file>

<file path=xl/ctrlProps/ctrlProp21.xml><?xml version="1.0" encoding="utf-8"?>
<formControlPr xmlns="http://schemas.microsoft.com/office/spreadsheetml/2009/9/main" objectType="Drop" dropLines="13" dropStyle="combo" dx="22" fmlaLink="$C$3" fmlaRange="Tables!$B$4:$B$13" noThreeD="1" sel="8" val="0"/>
</file>

<file path=xl/ctrlProps/ctrlProp22.xml><?xml version="1.0" encoding="utf-8"?>
<formControlPr xmlns="http://schemas.microsoft.com/office/spreadsheetml/2009/9/main" objectType="Drop" dropLines="5" dropStyle="combo" dx="22" fmlaLink="$I$3" fmlaRange="Tables!$B$15:$B$19" sel="2" val="0"/>
</file>

<file path=xl/ctrlProps/ctrlProp23.xml><?xml version="1.0" encoding="utf-8"?>
<formControlPr xmlns="http://schemas.microsoft.com/office/spreadsheetml/2009/9/main" objectType="Drop" dropLines="2" dropStyle="combo" dx="22" fmlaLink="$AD$3" fmlaRange="Tables!$B$41:$B$42" noThreeD="1" sel="2" val="0"/>
</file>

<file path=xl/ctrlProps/ctrlProp24.xml><?xml version="1.0" encoding="utf-8"?>
<formControlPr xmlns="http://schemas.microsoft.com/office/spreadsheetml/2009/9/main" objectType="Drop" dropLines="12" dropStyle="combo" dx="22" fmlaLink="$Y$3" fmlaRange="Tables!$B$34:$B$38" noThreeD="1" sel="1" val="0"/>
</file>

<file path=xl/ctrlProps/ctrlProp25.xml><?xml version="1.0" encoding="utf-8"?>
<formControlPr xmlns="http://schemas.microsoft.com/office/spreadsheetml/2009/9/main" objectType="Drop" dropLines="5" dropStyle="combo" dx="22" fmlaLink="$U$3" fmlaRange="Tables!$B$28:$B$32" noThreeD="1" sel="2" val="0"/>
</file>

<file path=xl/ctrlProps/ctrlProp3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ctrlProps/ctrlProp4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5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6.xml><?xml version="1.0" encoding="utf-8"?>
<formControlPr xmlns="http://schemas.microsoft.com/office/spreadsheetml/2009/9/main" objectType="Drop" dropLines="2" dropStyle="combo" dx="22" fmlaLink="$AE$5" fmlaRange="Tables!$B$41:$B$42" noThreeD="1" sel="1" val="0"/>
</file>

<file path=xl/ctrlProps/ctrlProp7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8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9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17" Type="http://schemas.openxmlformats.org/officeDocument/2006/relationships/ctrlProp" Target="../ctrlProps/ctrlProp14.xml" /><Relationship Id="rId16" Type="http://schemas.openxmlformats.org/officeDocument/2006/relationships/ctrlProp" Target="../ctrlProps/ctrlProp13.xml" /><Relationship Id="rId21" Type="http://schemas.openxmlformats.org/officeDocument/2006/relationships/ctrlProp" Target="../ctrlProps/ctrlProp18.xml" /><Relationship Id="rId12" Type="http://schemas.openxmlformats.org/officeDocument/2006/relationships/ctrlProp" Target="../ctrlProps/ctrlProp9.xml" /><Relationship Id="rId6" Type="http://schemas.openxmlformats.org/officeDocument/2006/relationships/ctrlProp" Target="../ctrlProps/ctrlProp3.xml" /><Relationship Id="rId20" Type="http://schemas.openxmlformats.org/officeDocument/2006/relationships/ctrlProp" Target="../ctrlProps/ctrlProp17.xml" /><Relationship Id="rId10" Type="http://schemas.openxmlformats.org/officeDocument/2006/relationships/ctrlProp" Target="../ctrlProps/ctrlProp7.xml" /><Relationship Id="rId18" Type="http://schemas.openxmlformats.org/officeDocument/2006/relationships/ctrlProp" Target="../ctrlProps/ctrlProp15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22" Type="http://schemas.openxmlformats.org/officeDocument/2006/relationships/ctrlProp" Target="../ctrlProps/ctrlProp19.xml" /><Relationship Id="rId5" Type="http://schemas.openxmlformats.org/officeDocument/2006/relationships/ctrlProp" Target="../ctrlProps/ctrlProp2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15" Type="http://schemas.openxmlformats.org/officeDocument/2006/relationships/ctrlProp" Target="../ctrlProps/ctrlProp1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3.xml" /><Relationship Id="rId6" Type="http://schemas.openxmlformats.org/officeDocument/2006/relationships/ctrlProp" Target="../ctrlProps/ctrlProp22.xml" /><Relationship Id="rId4" Type="http://schemas.openxmlformats.org/officeDocument/2006/relationships/ctrlProp" Target="../ctrlProps/ctrlProp20.xml" /><Relationship Id="rId8" Type="http://schemas.openxmlformats.org/officeDocument/2006/relationships/ctrlProp" Target="../ctrlProps/ctrlProp24.xml" /><Relationship Id="rId5" Type="http://schemas.openxmlformats.org/officeDocument/2006/relationships/ctrlProp" Target="../ctrlProps/ctrlProp21.xml" /><Relationship Id="rId9" Type="http://schemas.openxmlformats.org/officeDocument/2006/relationships/ctrlProp" Target="../ctrlProps/ctrlProp25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20"/>
  <sheetViews>
    <sheetView showGridLines="0" showRowColHeaders="0" tabSelected="1" workbookViewId="0" topLeftCell="A1">
      <selection activeCell="C1" sqref="C1:AF1"/>
    </sheetView>
  </sheetViews>
  <sheetFormatPr defaultColWidth="9.140625" defaultRowHeight="12.75"/>
  <cols>
    <col min="1" max="1" width="0.9921875" style="1" customWidth="1"/>
    <col min="2" max="2" width="33.140625" style="1" customWidth="1"/>
    <col min="3" max="3" width="0.9921875" style="2" customWidth="1"/>
    <col min="4" max="4" width="6.57421875" style="1" customWidth="1"/>
    <col min="5" max="5" width="7.421875" style="19" customWidth="1"/>
    <col min="6" max="6" width="6.7109375" style="19" customWidth="1"/>
    <col min="7" max="7" width="0.9921875" style="5" customWidth="1"/>
    <col min="8" max="8" width="8.140625" style="19" customWidth="1"/>
    <col min="9" max="9" width="0.9921875" style="5" customWidth="1"/>
    <col min="10" max="10" width="6.57421875" style="19" customWidth="1"/>
    <col min="11" max="11" width="7.28125" style="5" customWidth="1"/>
    <col min="12" max="12" width="0.9921875" style="5" customWidth="1"/>
    <col min="13" max="13" width="6.8515625" style="5" customWidth="1"/>
    <col min="14" max="14" width="29.57421875" style="5" customWidth="1"/>
    <col min="15" max="15" width="0.9921875" style="5" customWidth="1"/>
    <col min="16" max="16" width="3.8515625" style="5" customWidth="1"/>
    <col min="17" max="17" width="0.9921875" style="2" customWidth="1"/>
    <col min="18" max="18" width="6.8515625" style="1" customWidth="1"/>
    <col min="19" max="19" width="7.00390625" style="1" customWidth="1"/>
    <col min="20" max="20" width="6.140625" style="2" customWidth="1"/>
    <col min="21" max="21" width="0.9921875" style="2" customWidth="1"/>
    <col min="22" max="22" width="7.421875" style="2" customWidth="1"/>
    <col min="23" max="23" width="7.421875" style="1" customWidth="1"/>
    <col min="24" max="24" width="8.57421875" style="2" customWidth="1"/>
    <col min="25" max="25" width="0.9921875" style="2" customWidth="1"/>
    <col min="26" max="26" width="21.57421875" style="2" customWidth="1"/>
    <col min="27" max="27" width="18.00390625" style="1" customWidth="1"/>
    <col min="28" max="28" width="18.421875" style="1" customWidth="1"/>
    <col min="29" max="29" width="0.9921875" style="2" customWidth="1"/>
    <col min="30" max="30" width="12.140625" style="1" customWidth="1"/>
    <col min="31" max="31" width="11.7109375" style="1" customWidth="1"/>
    <col min="32" max="32" width="1.57421875" style="1" hidden="1" customWidth="1"/>
    <col min="33" max="33" width="0.85546875" style="1" hidden="1" customWidth="1"/>
    <col min="34" max="34" width="3.7109375" style="1" hidden="1" customWidth="1"/>
    <col min="35" max="35" width="13.00390625" style="1" hidden="1" customWidth="1"/>
    <col min="36" max="36" width="9.00390625" style="1" customWidth="1"/>
    <col min="37" max="16384" width="9.140625" style="1" customWidth="1"/>
  </cols>
  <sheetData>
    <row r="1" spans="2:38" s="15" customFormat="1" ht="47.25" customHeight="1">
      <c r="B1" s="208"/>
      <c r="C1" s="273" t="s">
        <v>93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05"/>
      <c r="AH1" s="205"/>
      <c r="AI1" s="205"/>
      <c r="AJ1" s="205"/>
      <c r="AK1" s="205"/>
      <c r="AL1" s="205"/>
    </row>
    <row r="2" spans="2:38" s="15" customFormat="1" ht="99" customHeight="1" thickBot="1">
      <c r="B2" s="278" t="s">
        <v>67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04"/>
      <c r="V2" s="204"/>
      <c r="W2" s="205"/>
      <c r="X2" s="204"/>
      <c r="Y2" s="204"/>
      <c r="Z2" s="204"/>
      <c r="AA2" s="205"/>
      <c r="AB2" s="205"/>
      <c r="AD2" s="204"/>
      <c r="AE2" s="205"/>
      <c r="AF2" s="205"/>
      <c r="AG2" s="205"/>
      <c r="AH2" s="205"/>
      <c r="AI2" s="205"/>
      <c r="AJ2" s="205"/>
      <c r="AK2" s="205"/>
      <c r="AL2" s="205"/>
    </row>
    <row r="3" spans="2:38" s="23" customFormat="1" ht="22.5" customHeight="1" thickTop="1">
      <c r="B3" s="266" t="s">
        <v>78</v>
      </c>
      <c r="C3" s="209"/>
      <c r="D3" s="268" t="s">
        <v>0</v>
      </c>
      <c r="E3" s="268"/>
      <c r="F3" s="268"/>
      <c r="G3" s="268"/>
      <c r="H3" s="268"/>
      <c r="I3" s="210"/>
      <c r="J3" s="268" t="s">
        <v>89</v>
      </c>
      <c r="K3" s="268"/>
      <c r="L3" s="268"/>
      <c r="M3" s="268"/>
      <c r="N3" s="268"/>
      <c r="O3" s="210"/>
      <c r="P3" s="268" t="s">
        <v>19</v>
      </c>
      <c r="Q3" s="268"/>
      <c r="R3" s="268"/>
      <c r="S3" s="268"/>
      <c r="T3" s="268"/>
      <c r="U3" s="211"/>
      <c r="V3" s="268" t="s">
        <v>20</v>
      </c>
      <c r="W3" s="268"/>
      <c r="X3" s="268"/>
      <c r="Y3" s="212"/>
      <c r="Z3" s="268" t="s">
        <v>90</v>
      </c>
      <c r="AA3" s="268"/>
      <c r="AB3" s="268"/>
      <c r="AC3" s="211"/>
      <c r="AD3" s="268" t="s">
        <v>91</v>
      </c>
      <c r="AE3" s="268"/>
      <c r="AF3" s="268"/>
      <c r="AG3" s="213"/>
      <c r="AH3" s="213"/>
      <c r="AI3" s="213"/>
      <c r="AJ3" s="213"/>
      <c r="AK3" s="213"/>
      <c r="AL3" s="213"/>
    </row>
    <row r="4" spans="2:38" s="23" customFormat="1" ht="31.5" customHeight="1" thickBot="1">
      <c r="B4" s="267"/>
      <c r="C4" s="209"/>
      <c r="D4" s="279" t="s">
        <v>29</v>
      </c>
      <c r="E4" s="271"/>
      <c r="F4" s="271" t="s">
        <v>64</v>
      </c>
      <c r="G4" s="271"/>
      <c r="H4" s="272"/>
      <c r="I4" s="210"/>
      <c r="J4" s="268"/>
      <c r="K4" s="268"/>
      <c r="L4" s="268"/>
      <c r="M4" s="268"/>
      <c r="N4" s="268"/>
      <c r="O4" s="210"/>
      <c r="P4" s="268"/>
      <c r="Q4" s="268"/>
      <c r="R4" s="268"/>
      <c r="S4" s="268"/>
      <c r="T4" s="268"/>
      <c r="U4" s="211"/>
      <c r="V4" s="268"/>
      <c r="W4" s="268"/>
      <c r="X4" s="268"/>
      <c r="Y4" s="212"/>
      <c r="Z4" s="268"/>
      <c r="AA4" s="268"/>
      <c r="AB4" s="268"/>
      <c r="AC4" s="211"/>
      <c r="AD4" s="268"/>
      <c r="AE4" s="268"/>
      <c r="AF4" s="268"/>
      <c r="AG4" s="213"/>
      <c r="AH4" s="213"/>
      <c r="AI4" s="213"/>
      <c r="AJ4" s="213"/>
      <c r="AK4" s="213"/>
      <c r="AL4" s="213"/>
    </row>
    <row r="5" spans="2:38" s="24" customFormat="1" ht="25.5" customHeight="1" thickBot="1" thickTop="1">
      <c r="B5" s="188">
        <v>50000</v>
      </c>
      <c r="C5" s="214"/>
      <c r="D5" s="276">
        <v>1</v>
      </c>
      <c r="E5" s="276"/>
      <c r="F5" s="276"/>
      <c r="G5" s="276"/>
      <c r="H5" s="276"/>
      <c r="I5" s="190"/>
      <c r="J5" s="277">
        <v>1</v>
      </c>
      <c r="K5" s="277"/>
      <c r="L5" s="277"/>
      <c r="M5" s="277"/>
      <c r="N5" s="277"/>
      <c r="O5" s="190"/>
      <c r="P5" s="276"/>
      <c r="Q5" s="276"/>
      <c r="R5" s="276"/>
      <c r="S5" s="276">
        <v>1</v>
      </c>
      <c r="T5" s="276"/>
      <c r="U5" s="215">
        <v>5</v>
      </c>
      <c r="V5" s="277">
        <v>1</v>
      </c>
      <c r="W5" s="277"/>
      <c r="X5" s="277"/>
      <c r="Y5" s="215"/>
      <c r="Z5" s="275">
        <v>1</v>
      </c>
      <c r="AA5" s="275"/>
      <c r="AB5" s="275"/>
      <c r="AC5" s="216"/>
      <c r="AD5" s="275"/>
      <c r="AE5" s="275">
        <v>1</v>
      </c>
      <c r="AF5" s="275"/>
      <c r="AG5" s="217"/>
      <c r="AH5" s="217"/>
      <c r="AI5" s="217"/>
      <c r="AJ5" s="217"/>
      <c r="AK5" s="217"/>
      <c r="AL5" s="217"/>
    </row>
    <row r="6" spans="2:38" s="26" customFormat="1" ht="3.75" customHeight="1" thickBot="1" thickTop="1">
      <c r="B6" s="189"/>
      <c r="C6" s="214"/>
      <c r="D6" s="190"/>
      <c r="E6" s="190"/>
      <c r="F6" s="190"/>
      <c r="G6" s="190"/>
      <c r="H6" s="190"/>
      <c r="I6" s="190"/>
      <c r="J6" s="191"/>
      <c r="K6" s="191"/>
      <c r="L6" s="191"/>
      <c r="M6" s="191"/>
      <c r="N6" s="191"/>
      <c r="O6" s="190"/>
      <c r="P6" s="190"/>
      <c r="Q6" s="190"/>
      <c r="R6" s="190"/>
      <c r="S6" s="190"/>
      <c r="T6" s="190"/>
      <c r="U6" s="215"/>
      <c r="V6" s="191"/>
      <c r="W6" s="191"/>
      <c r="X6" s="191"/>
      <c r="Y6" s="215"/>
      <c r="Z6" s="192"/>
      <c r="AA6" s="192"/>
      <c r="AB6" s="192"/>
      <c r="AC6" s="216"/>
      <c r="AD6" s="192"/>
      <c r="AE6" s="192"/>
      <c r="AF6" s="192"/>
      <c r="AG6" s="216"/>
      <c r="AH6" s="216"/>
      <c r="AI6" s="216"/>
      <c r="AJ6" s="216"/>
      <c r="AK6" s="216"/>
      <c r="AL6" s="216"/>
    </row>
    <row r="7" spans="2:38" s="15" customFormat="1" ht="35.25" customHeight="1">
      <c r="B7" s="218" t="s">
        <v>79</v>
      </c>
      <c r="C7" s="204"/>
      <c r="D7" s="256"/>
      <c r="E7" s="256"/>
      <c r="F7" s="256"/>
      <c r="G7" s="256"/>
      <c r="H7" s="256"/>
      <c r="I7" s="219"/>
      <c r="J7" s="269"/>
      <c r="K7" s="269"/>
      <c r="L7" s="269"/>
      <c r="M7" s="269"/>
      <c r="N7" s="269"/>
      <c r="O7" s="219"/>
      <c r="P7" s="270"/>
      <c r="Q7" s="270"/>
      <c r="R7" s="270"/>
      <c r="S7" s="270"/>
      <c r="T7" s="270"/>
      <c r="U7" s="204"/>
      <c r="V7" s="258"/>
      <c r="W7" s="258"/>
      <c r="X7" s="258"/>
      <c r="Y7" s="204"/>
      <c r="Z7" s="259"/>
      <c r="AA7" s="259"/>
      <c r="AB7" s="259"/>
      <c r="AC7" s="204"/>
      <c r="AD7" s="256"/>
      <c r="AE7" s="256"/>
      <c r="AF7" s="256"/>
      <c r="AG7" s="205"/>
      <c r="AH7" s="205"/>
      <c r="AI7" s="205"/>
      <c r="AJ7" s="205"/>
      <c r="AK7" s="205"/>
      <c r="AL7" s="205"/>
    </row>
    <row r="8" spans="2:38" s="187" customFormat="1" ht="33" customHeight="1" thickBot="1">
      <c r="B8" s="220">
        <f>IF($D$5&gt;5,VLOOKUP(5,Sewer,4),IF($D$5&lt;9,(D8+F8+J8+P8+V8+Z8+AD8+AE8),VLOOKUP($D$5,Ordinary_Rates,10)))</f>
        <v>495.164</v>
      </c>
      <c r="C8" s="221"/>
      <c r="D8" s="261">
        <f>IF($D$5&lt;11,VLOOKUP($D$5,Ordinary_Rates,4),VLOOKUP($D$5,Ordinary_Rates,4))</f>
        <v>355</v>
      </c>
      <c r="E8" s="262"/>
      <c r="F8" s="263">
        <f>IF($D$5&lt;11,($B$5*VLOOKUP($D$5,Ordinary_Rates,5)/100),VLOOKUP($D$5,Ordinary_Rates,4))</f>
        <v>96.164</v>
      </c>
      <c r="G8" s="263"/>
      <c r="H8" s="264"/>
      <c r="I8" s="222"/>
      <c r="J8" s="274">
        <f>IF($J$5&lt;20,VLOOKUP($J$5,Waste_Mgmt,4),VLOOKUP($D$5,Waste_Mgmt,4))</f>
        <v>44</v>
      </c>
      <c r="K8" s="274"/>
      <c r="L8" s="274"/>
      <c r="M8" s="274"/>
      <c r="N8" s="274"/>
      <c r="O8" s="222"/>
      <c r="P8" s="274">
        <f>VLOOKUP($S$5,Add_Garbage,4)</f>
        <v>0</v>
      </c>
      <c r="Q8" s="274"/>
      <c r="R8" s="274"/>
      <c r="S8" s="274"/>
      <c r="T8" s="274"/>
      <c r="U8" s="222"/>
      <c r="V8" s="274">
        <f>VLOOKUP($V$5,Add_Recycle,4)</f>
        <v>0</v>
      </c>
      <c r="W8" s="274"/>
      <c r="X8" s="274"/>
      <c r="Y8" s="222"/>
      <c r="Z8" s="274">
        <f>IF($D$5&lt;4,VLOOKUP($Z$5,Sewer,4),IF($D$5=4,VLOOKUP($Z$5,Sewer,5),IF($D$5=7,VLOOKUP($Z$5,Sewer,4),IF($D$5=8,VLOOKUP($Z$5,Sewer,5),0))))</f>
        <v>0</v>
      </c>
      <c r="AA8" s="274"/>
      <c r="AB8" s="274"/>
      <c r="AC8" s="223"/>
      <c r="AD8" s="281">
        <f>+AH8+AI8</f>
        <v>0</v>
      </c>
      <c r="AE8" s="281"/>
      <c r="AF8" s="281"/>
      <c r="AG8" s="221"/>
      <c r="AH8" s="224">
        <f>IF(Z8&gt;0,-IF($D$5&lt;6,VLOOKUP($AE$5,Pensioner,5),0),0)</f>
        <v>0</v>
      </c>
      <c r="AI8" s="224">
        <f>-IF($D$5&lt;5,VLOOKUP($AE$5,Pensioner,4),0)</f>
        <v>0</v>
      </c>
      <c r="AJ8" s="221"/>
      <c r="AK8" s="221"/>
      <c r="AL8" s="221"/>
    </row>
    <row r="9" spans="2:38" s="14" customFormat="1" ht="7.5" customHeight="1">
      <c r="B9" s="225"/>
      <c r="C9" s="204"/>
      <c r="D9" s="265"/>
      <c r="E9" s="265"/>
      <c r="F9" s="265"/>
      <c r="G9" s="226"/>
      <c r="H9" s="280"/>
      <c r="I9" s="280"/>
      <c r="J9" s="280"/>
      <c r="K9" s="280"/>
      <c r="L9" s="227"/>
      <c r="M9" s="280"/>
      <c r="N9" s="280"/>
      <c r="O9" s="280"/>
      <c r="P9" s="280"/>
      <c r="Q9" s="227"/>
      <c r="R9" s="280"/>
      <c r="S9" s="280"/>
      <c r="T9" s="280"/>
      <c r="U9" s="227"/>
      <c r="V9" s="280"/>
      <c r="W9" s="280"/>
      <c r="X9" s="280"/>
      <c r="Y9" s="227"/>
      <c r="Z9" s="280"/>
      <c r="AA9" s="280"/>
      <c r="AB9" s="280"/>
      <c r="AC9" s="228"/>
      <c r="AD9" s="283"/>
      <c r="AE9" s="283"/>
      <c r="AF9" s="283"/>
      <c r="AG9" s="204"/>
      <c r="AH9" s="204"/>
      <c r="AI9" s="229"/>
      <c r="AJ9" s="204"/>
      <c r="AK9" s="204"/>
      <c r="AL9" s="204"/>
    </row>
    <row r="10" spans="2:38" s="46" customFormat="1" ht="43.5" customHeight="1">
      <c r="B10" s="230"/>
      <c r="C10" s="231"/>
      <c r="D10" s="257"/>
      <c r="E10" s="257"/>
      <c r="F10" s="257"/>
      <c r="G10" s="257"/>
      <c r="H10" s="257"/>
      <c r="I10" s="232"/>
      <c r="J10" s="257"/>
      <c r="K10" s="257"/>
      <c r="L10" s="257"/>
      <c r="M10" s="257"/>
      <c r="N10" s="257"/>
      <c r="O10" s="232"/>
      <c r="P10" s="257"/>
      <c r="Q10" s="257"/>
      <c r="R10" s="257"/>
      <c r="S10" s="257"/>
      <c r="T10" s="257"/>
      <c r="U10" s="232"/>
      <c r="V10" s="257"/>
      <c r="W10" s="257"/>
      <c r="X10" s="257"/>
      <c r="Y10" s="232"/>
      <c r="Z10" s="257"/>
      <c r="AA10" s="257"/>
      <c r="AB10" s="257"/>
      <c r="AC10" s="232"/>
      <c r="AD10" s="257"/>
      <c r="AE10" s="257"/>
      <c r="AF10" s="257"/>
      <c r="AG10" s="231"/>
      <c r="AH10" s="233"/>
      <c r="AI10" s="229"/>
      <c r="AJ10" s="233"/>
      <c r="AK10" s="233"/>
      <c r="AL10" s="233"/>
    </row>
    <row r="11" spans="2:38" s="187" customFormat="1" ht="43.5" customHeight="1">
      <c r="B11" s="234"/>
      <c r="C11" s="235"/>
      <c r="D11" s="260"/>
      <c r="E11" s="260"/>
      <c r="F11" s="260"/>
      <c r="G11" s="260"/>
      <c r="H11" s="260"/>
      <c r="I11" s="222"/>
      <c r="J11" s="255"/>
      <c r="K11" s="255"/>
      <c r="L11" s="255"/>
      <c r="M11" s="255"/>
      <c r="N11" s="255"/>
      <c r="O11" s="222"/>
      <c r="P11" s="255"/>
      <c r="Q11" s="255"/>
      <c r="R11" s="255"/>
      <c r="S11" s="255"/>
      <c r="T11" s="255"/>
      <c r="U11" s="222"/>
      <c r="V11" s="255"/>
      <c r="W11" s="255"/>
      <c r="X11" s="255"/>
      <c r="Y11" s="222"/>
      <c r="Z11" s="255"/>
      <c r="AA11" s="255"/>
      <c r="AB11" s="255"/>
      <c r="AC11" s="223"/>
      <c r="AD11" s="282"/>
      <c r="AE11" s="282"/>
      <c r="AF11" s="282"/>
      <c r="AG11" s="235"/>
      <c r="AH11" s="224">
        <f>IF(Z11&gt;0,-IF($D$5&lt;6,VLOOKUP($AE$5,Pensioner,5),0),0)</f>
        <v>0</v>
      </c>
      <c r="AI11" s="224">
        <f>-IF($D$5&lt;6,VLOOKUP($AE$5,Pensioner,4),0)</f>
        <v>0</v>
      </c>
      <c r="AJ11" s="221"/>
      <c r="AK11" s="221"/>
      <c r="AL11" s="221"/>
    </row>
    <row r="12" spans="2:38" s="193" customFormat="1" ht="24.75" customHeight="1">
      <c r="B12" s="236"/>
      <c r="C12" s="206"/>
      <c r="D12" s="206"/>
      <c r="E12" s="237"/>
      <c r="F12" s="237"/>
      <c r="G12" s="237"/>
      <c r="H12" s="237"/>
      <c r="I12" s="237"/>
      <c r="J12" s="237"/>
      <c r="K12" s="237"/>
      <c r="L12" s="237"/>
      <c r="M12" s="237"/>
      <c r="N12" s="238"/>
      <c r="O12" s="237"/>
      <c r="P12" s="237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39"/>
      <c r="AI12" s="239"/>
      <c r="AJ12" s="239"/>
      <c r="AK12" s="239"/>
      <c r="AL12" s="239"/>
    </row>
    <row r="13" spans="2:38" s="15" customFormat="1" ht="17.25" customHeight="1"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40"/>
      <c r="AG13" s="240"/>
      <c r="AH13" s="205"/>
      <c r="AI13" s="205"/>
      <c r="AJ13" s="205"/>
      <c r="AK13" s="205"/>
      <c r="AL13" s="205"/>
    </row>
    <row r="14" spans="2:38" s="15" customFormat="1" ht="17.25" customHeight="1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40"/>
      <c r="AG14" s="240"/>
      <c r="AH14" s="205"/>
      <c r="AI14" s="205"/>
      <c r="AJ14" s="205"/>
      <c r="AK14" s="205"/>
      <c r="AL14" s="205"/>
    </row>
    <row r="15" spans="2:38" s="15" customFormat="1" ht="17.25" customHeight="1"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5"/>
      <c r="AI15" s="205"/>
      <c r="AJ15" s="205"/>
      <c r="AK15" s="205"/>
      <c r="AL15" s="205"/>
    </row>
    <row r="16" spans="2:38" s="15" customFormat="1" ht="17.25" customHeight="1"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5"/>
      <c r="AI16" s="205"/>
      <c r="AJ16" s="205"/>
      <c r="AK16" s="205"/>
      <c r="AL16" s="205"/>
    </row>
    <row r="17" spans="2:38" ht="22.5" customHeight="1">
      <c r="B17" s="241"/>
      <c r="C17" s="242"/>
      <c r="D17" s="243"/>
      <c r="E17" s="244"/>
      <c r="F17" s="244"/>
      <c r="G17" s="245"/>
      <c r="H17" s="244"/>
      <c r="I17" s="245"/>
      <c r="J17" s="244"/>
      <c r="K17" s="245"/>
      <c r="L17" s="245"/>
      <c r="M17" s="245"/>
      <c r="N17" s="245"/>
      <c r="O17" s="245"/>
      <c r="P17" s="245"/>
      <c r="Q17" s="242"/>
      <c r="R17" s="243"/>
      <c r="S17" s="243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3"/>
      <c r="AG17" s="243"/>
      <c r="AH17" s="243"/>
      <c r="AI17" s="243"/>
      <c r="AJ17" s="243"/>
      <c r="AK17" s="243"/>
      <c r="AL17" s="243"/>
    </row>
    <row r="18" spans="2:38" ht="20.25" customHeight="1">
      <c r="B18" s="243"/>
      <c r="C18" s="242"/>
      <c r="D18" s="243"/>
      <c r="E18" s="244"/>
      <c r="F18" s="244"/>
      <c r="G18" s="245"/>
      <c r="H18" s="244"/>
      <c r="I18" s="245"/>
      <c r="J18" s="244"/>
      <c r="K18" s="245"/>
      <c r="L18" s="245"/>
      <c r="M18" s="245"/>
      <c r="N18" s="245"/>
      <c r="O18" s="245"/>
      <c r="P18" s="245"/>
      <c r="Q18" s="242"/>
      <c r="R18" s="243"/>
      <c r="S18" s="243"/>
      <c r="T18" s="242"/>
      <c r="U18" s="242"/>
      <c r="V18" s="242"/>
      <c r="W18" s="243"/>
      <c r="X18" s="242"/>
      <c r="Y18" s="242"/>
      <c r="Z18" s="242"/>
      <c r="AA18" s="243"/>
      <c r="AB18" s="243"/>
      <c r="AC18" s="242"/>
      <c r="AD18" s="243"/>
      <c r="AE18" s="243"/>
      <c r="AF18" s="243"/>
      <c r="AG18" s="243"/>
      <c r="AH18" s="243"/>
      <c r="AI18" s="243"/>
      <c r="AJ18" s="243"/>
      <c r="AK18" s="243"/>
      <c r="AL18" s="243"/>
    </row>
    <row r="19" spans="2:38" ht="20.25" customHeight="1">
      <c r="B19" s="243"/>
      <c r="C19" s="242"/>
      <c r="D19" s="243"/>
      <c r="E19" s="244"/>
      <c r="F19" s="244"/>
      <c r="G19" s="245"/>
      <c r="H19" s="244"/>
      <c r="I19" s="245"/>
      <c r="J19" s="244"/>
      <c r="K19" s="245"/>
      <c r="L19" s="245"/>
      <c r="M19" s="245"/>
      <c r="N19" s="245"/>
      <c r="O19" s="245"/>
      <c r="P19" s="245"/>
      <c r="Q19" s="242"/>
      <c r="R19" s="243"/>
      <c r="S19" s="243"/>
      <c r="T19" s="242"/>
      <c r="U19" s="242"/>
      <c r="V19" s="242"/>
      <c r="W19" s="243"/>
      <c r="X19" s="242"/>
      <c r="Y19" s="242"/>
      <c r="Z19" s="242"/>
      <c r="AA19" s="243"/>
      <c r="AB19" s="243"/>
      <c r="AC19" s="242"/>
      <c r="AD19" s="243"/>
      <c r="AE19" s="243"/>
      <c r="AF19" s="243"/>
      <c r="AG19" s="243"/>
      <c r="AH19" s="243"/>
      <c r="AI19" s="243"/>
      <c r="AJ19" s="243"/>
      <c r="AK19" s="243"/>
      <c r="AL19" s="243"/>
    </row>
    <row r="20" spans="2:38" ht="20.25" customHeight="1">
      <c r="B20" s="243"/>
      <c r="C20" s="242"/>
      <c r="D20" s="243"/>
      <c r="E20" s="244"/>
      <c r="F20" s="244"/>
      <c r="G20" s="245"/>
      <c r="H20" s="244"/>
      <c r="I20" s="245"/>
      <c r="J20" s="244"/>
      <c r="K20" s="245"/>
      <c r="L20" s="245"/>
      <c r="M20" s="245"/>
      <c r="N20" s="245"/>
      <c r="O20" s="245"/>
      <c r="P20" s="245"/>
      <c r="Q20" s="242"/>
      <c r="R20" s="243"/>
      <c r="S20" s="243"/>
      <c r="T20" s="242"/>
      <c r="U20" s="242"/>
      <c r="V20" s="242"/>
      <c r="W20" s="243"/>
      <c r="X20" s="242"/>
      <c r="Y20" s="242"/>
      <c r="Z20" s="242"/>
      <c r="AA20" s="243"/>
      <c r="AB20" s="243"/>
      <c r="AC20" s="242"/>
      <c r="AD20" s="243"/>
      <c r="AE20" s="243"/>
      <c r="AF20" s="243"/>
      <c r="AG20" s="243"/>
      <c r="AH20" s="243"/>
      <c r="AI20" s="243"/>
      <c r="AJ20" s="243"/>
      <c r="AK20" s="243"/>
      <c r="AL20" s="243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51">
    <mergeCell ref="AD10:AF10"/>
    <mergeCell ref="V10:X10"/>
    <mergeCell ref="Z10:AB10"/>
    <mergeCell ref="V11:X11"/>
    <mergeCell ref="AD8:AF8"/>
    <mergeCell ref="AD11:AF11"/>
    <mergeCell ref="AD9:AF9"/>
    <mergeCell ref="AD3:AF4"/>
    <mergeCell ref="AD7:AF7"/>
    <mergeCell ref="H9:K9"/>
    <mergeCell ref="M9:P9"/>
    <mergeCell ref="R9:T9"/>
    <mergeCell ref="V9:X9"/>
    <mergeCell ref="Z9:AB9"/>
    <mergeCell ref="C1:AF1"/>
    <mergeCell ref="V8:X8"/>
    <mergeCell ref="Z8:AB8"/>
    <mergeCell ref="AD5:AF5"/>
    <mergeCell ref="D3:H3"/>
    <mergeCell ref="D5:H5"/>
    <mergeCell ref="J5:N5"/>
    <mergeCell ref="B2:T2"/>
    <mergeCell ref="V3:X4"/>
    <mergeCell ref="Z3:AB4"/>
    <mergeCell ref="J8:N8"/>
    <mergeCell ref="P8:T8"/>
    <mergeCell ref="P5:T5"/>
    <mergeCell ref="V5:X5"/>
    <mergeCell ref="Z5:AB5"/>
    <mergeCell ref="D4:E4"/>
    <mergeCell ref="B3:B4"/>
    <mergeCell ref="J3:N4"/>
    <mergeCell ref="P3:T4"/>
    <mergeCell ref="J7:N7"/>
    <mergeCell ref="P7:T7"/>
    <mergeCell ref="F4:H4"/>
    <mergeCell ref="B13:T16"/>
    <mergeCell ref="Z11:AB11"/>
    <mergeCell ref="D7:H7"/>
    <mergeCell ref="P10:T10"/>
    <mergeCell ref="J10:N10"/>
    <mergeCell ref="D10:H10"/>
    <mergeCell ref="V7:X7"/>
    <mergeCell ref="Z7:AB7"/>
    <mergeCell ref="D11:E11"/>
    <mergeCell ref="F11:H11"/>
    <mergeCell ref="J11:N11"/>
    <mergeCell ref="P11:T11"/>
    <mergeCell ref="D8:E8"/>
    <mergeCell ref="F8:H8"/>
    <mergeCell ref="D9:F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4"/>
  <sheetViews>
    <sheetView workbookViewId="0" topLeftCell="A1">
      <pane ySplit="6" topLeftCell="A7" activePane="bottomLeft" state="frozen"/>
      <selection pane="bottomLeft" activeCell="C37" sqref="C37:E37"/>
    </sheetView>
  </sheetViews>
  <sheetFormatPr defaultColWidth="9.140625" defaultRowHeight="12.75"/>
  <cols>
    <col min="1" max="1" width="28.57421875" style="1" customWidth="1"/>
    <col min="2" max="2" width="0.85546875" style="2" customWidth="1"/>
    <col min="3" max="3" width="6.57421875" style="1" customWidth="1"/>
    <col min="4" max="5" width="7.421875" style="19" customWidth="1"/>
    <col min="6" max="6" width="0.71875" style="5" customWidth="1"/>
    <col min="7" max="7" width="7.28125" style="19" customWidth="1"/>
    <col min="8" max="8" width="0.9921875" style="5" customWidth="1"/>
    <col min="9" max="9" width="6.57421875" style="19" customWidth="1"/>
    <col min="10" max="10" width="7.421875" style="5" customWidth="1"/>
    <col min="11" max="11" width="0.71875" style="5" customWidth="1"/>
    <col min="12" max="12" width="7.421875" style="5" customWidth="1"/>
    <col min="13" max="13" width="9.421875" style="5" customWidth="1"/>
    <col min="14" max="14" width="0.9921875" style="5" customWidth="1"/>
    <col min="15" max="15" width="3.8515625" style="5" customWidth="1"/>
    <col min="16" max="16" width="0.9921875" style="2" customWidth="1"/>
    <col min="17" max="17" width="6.8515625" style="1" customWidth="1"/>
    <col min="18" max="18" width="7.00390625" style="1" customWidth="1"/>
    <col min="19" max="19" width="7.421875" style="2" customWidth="1"/>
    <col min="20" max="20" width="0.85546875" style="2" customWidth="1"/>
    <col min="21" max="21" width="7.421875" style="2" customWidth="1"/>
    <col min="22" max="22" width="7.421875" style="1" customWidth="1"/>
    <col min="23" max="23" width="7.421875" style="2" customWidth="1"/>
    <col min="24" max="24" width="0.85546875" style="2" customWidth="1"/>
    <col min="25" max="25" width="7.421875" style="2" customWidth="1"/>
    <col min="26" max="27" width="7.421875" style="1" customWidth="1"/>
    <col min="28" max="28" width="0.85546875" style="2" customWidth="1"/>
    <col min="29" max="31" width="7.421875" style="1" customWidth="1"/>
    <col min="32" max="16384" width="9.140625" style="1" customWidth="1"/>
  </cols>
  <sheetData>
    <row r="1" spans="1:31" s="15" customFormat="1" ht="38.25" customHeight="1">
      <c r="A1" s="379" t="s">
        <v>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</row>
    <row r="2" spans="1:31" s="23" customFormat="1" ht="48" customHeight="1">
      <c r="A2" s="69" t="s">
        <v>43</v>
      </c>
      <c r="B2" s="45"/>
      <c r="C2" s="377" t="s">
        <v>17</v>
      </c>
      <c r="D2" s="377"/>
      <c r="E2" s="377"/>
      <c r="F2" s="377"/>
      <c r="G2" s="377"/>
      <c r="H2" s="32"/>
      <c r="I2" s="377" t="s">
        <v>18</v>
      </c>
      <c r="J2" s="377"/>
      <c r="K2" s="377"/>
      <c r="L2" s="377"/>
      <c r="M2" s="377"/>
      <c r="N2" s="32"/>
      <c r="O2" s="377" t="s">
        <v>19</v>
      </c>
      <c r="P2" s="377"/>
      <c r="Q2" s="377"/>
      <c r="R2" s="377"/>
      <c r="S2" s="377"/>
      <c r="T2" s="52"/>
      <c r="U2" s="377" t="s">
        <v>20</v>
      </c>
      <c r="V2" s="377"/>
      <c r="W2" s="377"/>
      <c r="X2" s="25"/>
      <c r="Y2" s="377" t="s">
        <v>33</v>
      </c>
      <c r="Z2" s="378"/>
      <c r="AA2" s="378"/>
      <c r="AB2" s="52"/>
      <c r="AC2" s="377" t="s">
        <v>21</v>
      </c>
      <c r="AD2" s="377"/>
      <c r="AE2" s="377"/>
    </row>
    <row r="3" spans="1:31" s="24" customFormat="1" ht="25.5" customHeight="1">
      <c r="A3" s="70">
        <v>200000</v>
      </c>
      <c r="B3" s="36"/>
      <c r="C3" s="276">
        <v>8</v>
      </c>
      <c r="D3" s="276"/>
      <c r="E3" s="276"/>
      <c r="F3" s="276"/>
      <c r="G3" s="276"/>
      <c r="H3" s="37"/>
      <c r="I3" s="277">
        <v>2</v>
      </c>
      <c r="J3" s="277"/>
      <c r="K3" s="277"/>
      <c r="L3" s="277"/>
      <c r="M3" s="277"/>
      <c r="N3" s="37"/>
      <c r="O3" s="276"/>
      <c r="P3" s="276"/>
      <c r="Q3" s="276"/>
      <c r="R3" s="276">
        <v>2</v>
      </c>
      <c r="S3" s="276"/>
      <c r="T3" s="38">
        <v>5</v>
      </c>
      <c r="U3" s="277">
        <v>2</v>
      </c>
      <c r="V3" s="277"/>
      <c r="W3" s="277"/>
      <c r="X3" s="38"/>
      <c r="Y3" s="275">
        <v>1</v>
      </c>
      <c r="Z3" s="275"/>
      <c r="AA3" s="275"/>
      <c r="AB3" s="26"/>
      <c r="AC3" s="275"/>
      <c r="AD3" s="275">
        <v>2</v>
      </c>
      <c r="AE3" s="275"/>
    </row>
    <row r="4" ht="6" customHeight="1"/>
    <row r="5" spans="1:31" ht="12.75">
      <c r="A5" s="388" t="s">
        <v>48</v>
      </c>
      <c r="C5" s="389" t="s">
        <v>3</v>
      </c>
      <c r="D5" s="390"/>
      <c r="E5" s="391"/>
      <c r="F5" s="25"/>
      <c r="G5" s="335" t="s">
        <v>4</v>
      </c>
      <c r="H5" s="336"/>
      <c r="I5" s="336"/>
      <c r="J5" s="337"/>
      <c r="L5" s="352" t="s">
        <v>5</v>
      </c>
      <c r="M5" s="353"/>
      <c r="N5" s="353"/>
      <c r="O5" s="354"/>
      <c r="Q5" s="392" t="s">
        <v>6</v>
      </c>
      <c r="R5" s="393"/>
      <c r="S5" s="394"/>
      <c r="U5" s="338" t="s">
        <v>7</v>
      </c>
      <c r="V5" s="339"/>
      <c r="W5" s="340"/>
      <c r="X5" s="25"/>
      <c r="Y5" s="349" t="s">
        <v>8</v>
      </c>
      <c r="Z5" s="350"/>
      <c r="AA5" s="351"/>
      <c r="AC5" s="382" t="s">
        <v>9</v>
      </c>
      <c r="AD5" s="383"/>
      <c r="AE5" s="384"/>
    </row>
    <row r="6" spans="1:31" s="2" customFormat="1" ht="13.5" customHeight="1">
      <c r="A6" s="388"/>
      <c r="C6" s="329" t="s">
        <v>28</v>
      </c>
      <c r="D6" s="330"/>
      <c r="E6" s="331"/>
      <c r="F6" s="25"/>
      <c r="G6" s="332" t="s">
        <v>24</v>
      </c>
      <c r="H6" s="333"/>
      <c r="I6" s="333"/>
      <c r="J6" s="334"/>
      <c r="K6" s="25"/>
      <c r="L6" s="363" t="s">
        <v>25</v>
      </c>
      <c r="M6" s="364"/>
      <c r="N6" s="364"/>
      <c r="O6" s="365"/>
      <c r="P6" s="25"/>
      <c r="Q6" s="368" t="s">
        <v>26</v>
      </c>
      <c r="R6" s="369"/>
      <c r="S6" s="370"/>
      <c r="T6" s="25"/>
      <c r="U6" s="357" t="s">
        <v>27</v>
      </c>
      <c r="V6" s="358"/>
      <c r="W6" s="359"/>
      <c r="X6" s="25"/>
      <c r="Y6" s="360"/>
      <c r="Z6" s="361"/>
      <c r="AA6" s="362"/>
      <c r="AC6" s="385"/>
      <c r="AD6" s="386"/>
      <c r="AE6" s="387"/>
    </row>
    <row r="7" spans="3:31" s="2" customFormat="1" ht="6" customHeight="1">
      <c r="C7" s="31"/>
      <c r="D7" s="31"/>
      <c r="E7" s="31"/>
      <c r="F7" s="25"/>
      <c r="G7" s="58"/>
      <c r="H7" s="58"/>
      <c r="I7" s="58"/>
      <c r="J7" s="58"/>
      <c r="K7" s="25"/>
      <c r="L7" s="83"/>
      <c r="M7" s="83"/>
      <c r="N7" s="83"/>
      <c r="O7" s="83"/>
      <c r="P7" s="25"/>
      <c r="Q7" s="60"/>
      <c r="R7" s="60"/>
      <c r="S7" s="60"/>
      <c r="T7" s="25"/>
      <c r="U7" s="64"/>
      <c r="V7" s="64"/>
      <c r="W7" s="64"/>
      <c r="X7" s="25"/>
      <c r="Y7" s="62"/>
      <c r="Z7" s="62"/>
      <c r="AA7" s="62"/>
      <c r="AC7" s="30"/>
      <c r="AD7" s="30"/>
      <c r="AE7" s="30"/>
    </row>
    <row r="8" spans="1:31" s="2" customFormat="1" ht="13.5" customHeight="1">
      <c r="A8" s="131" t="s">
        <v>29</v>
      </c>
      <c r="B8" s="132"/>
      <c r="C8" s="380">
        <f>VLOOKUP($C$3,Ordinary_Rates,4)</f>
        <v>1120</v>
      </c>
      <c r="D8" s="380"/>
      <c r="E8" s="380"/>
      <c r="F8" s="133"/>
      <c r="G8" s="326">
        <f>C8*1.033</f>
        <v>1156.9599999999998</v>
      </c>
      <c r="H8" s="326"/>
      <c r="I8" s="326"/>
      <c r="J8" s="326"/>
      <c r="K8" s="133"/>
      <c r="L8" s="366">
        <f>G8*1.033</f>
        <v>1195.1396799999998</v>
      </c>
      <c r="M8" s="366"/>
      <c r="N8" s="366"/>
      <c r="O8" s="366"/>
      <c r="P8" s="133"/>
      <c r="Q8" s="367">
        <f>L8*1.033</f>
        <v>1234.5792894399997</v>
      </c>
      <c r="R8" s="367"/>
      <c r="S8" s="367"/>
      <c r="T8" s="133"/>
      <c r="U8" s="355">
        <f>Q8*1.033</f>
        <v>1275.3204059915195</v>
      </c>
      <c r="V8" s="355"/>
      <c r="W8" s="355"/>
      <c r="X8" s="133"/>
      <c r="Y8" s="381">
        <f>(U8-75)*1.033</f>
        <v>1239.9309793892396</v>
      </c>
      <c r="Z8" s="381"/>
      <c r="AA8" s="381"/>
      <c r="AB8" s="134"/>
      <c r="AC8" s="327">
        <f>Y8*1.033</f>
        <v>1280.8487017090845</v>
      </c>
      <c r="AD8" s="327"/>
      <c r="AE8" s="328"/>
    </row>
    <row r="9" spans="1:31" s="2" customFormat="1" ht="13.5" customHeight="1">
      <c r="A9" s="135" t="s">
        <v>38</v>
      </c>
      <c r="C9" s="324">
        <f>$A$3*VLOOKUP($C$3,Ordinary_Rates,5)/100</f>
        <v>7872.8</v>
      </c>
      <c r="D9" s="324"/>
      <c r="E9" s="324"/>
      <c r="F9" s="39"/>
      <c r="G9" s="344">
        <f>C9*1.033</f>
        <v>8132.6024</v>
      </c>
      <c r="H9" s="344"/>
      <c r="I9" s="344"/>
      <c r="J9" s="344"/>
      <c r="K9" s="39"/>
      <c r="L9" s="345">
        <f>G9*1.033</f>
        <v>8400.978279199999</v>
      </c>
      <c r="M9" s="345"/>
      <c r="N9" s="345"/>
      <c r="O9" s="345"/>
      <c r="P9" s="39"/>
      <c r="Q9" s="346">
        <f>L9*1.033</f>
        <v>8678.210562413598</v>
      </c>
      <c r="R9" s="346"/>
      <c r="S9" s="346"/>
      <c r="T9" s="39"/>
      <c r="U9" s="375">
        <f>Q9*1.033</f>
        <v>8964.591510973247</v>
      </c>
      <c r="V9" s="375"/>
      <c r="W9" s="375"/>
      <c r="X9" s="39"/>
      <c r="Y9" s="376">
        <f>U9*1.033</f>
        <v>9260.423030835364</v>
      </c>
      <c r="Z9" s="376"/>
      <c r="AA9" s="376"/>
      <c r="AB9" s="33"/>
      <c r="AC9" s="373">
        <f>Y9*1.033</f>
        <v>9566.01699085293</v>
      </c>
      <c r="AD9" s="373"/>
      <c r="AE9" s="374"/>
    </row>
    <row r="10" spans="1:31" ht="12.75">
      <c r="A10" s="135" t="s">
        <v>30</v>
      </c>
      <c r="C10" s="324">
        <f>VLOOKUP($I$3,Waste_Mgmt,4)</f>
        <v>392</v>
      </c>
      <c r="D10" s="324"/>
      <c r="E10" s="324"/>
      <c r="F10" s="29"/>
      <c r="G10" s="347">
        <f>C10*1.0291</f>
        <v>403.4072</v>
      </c>
      <c r="H10" s="347"/>
      <c r="I10" s="347"/>
      <c r="J10" s="347"/>
      <c r="K10" s="29"/>
      <c r="L10" s="341">
        <f>G10*1.5</f>
        <v>605.1107999999999</v>
      </c>
      <c r="M10" s="341"/>
      <c r="N10" s="341"/>
      <c r="O10" s="341"/>
      <c r="P10" s="29"/>
      <c r="Q10" s="342">
        <f>L10*1.0213</f>
        <v>617.99966004</v>
      </c>
      <c r="R10" s="342"/>
      <c r="S10" s="342"/>
      <c r="T10" s="29"/>
      <c r="U10" s="348">
        <f>Q10*1.029</f>
        <v>635.92165018116</v>
      </c>
      <c r="V10" s="348"/>
      <c r="W10" s="348"/>
      <c r="X10" s="29"/>
      <c r="Y10" s="356">
        <f>U10*1.0296</f>
        <v>654.7449310265224</v>
      </c>
      <c r="Z10" s="356"/>
      <c r="AA10" s="356"/>
      <c r="AB10" s="29"/>
      <c r="AC10" s="371">
        <f>Y10*1.0287</f>
        <v>673.5361105469835</v>
      </c>
      <c r="AD10" s="371"/>
      <c r="AE10" s="372"/>
    </row>
    <row r="11" spans="1:31" s="2" customFormat="1" ht="13.5" customHeight="1">
      <c r="A11" s="135" t="s">
        <v>56</v>
      </c>
      <c r="C11" s="343">
        <f>VLOOKUP($R$3,Add_Garbage,4)</f>
        <v>318</v>
      </c>
      <c r="D11" s="343"/>
      <c r="E11" s="343"/>
      <c r="F11" s="40"/>
      <c r="G11" s="325">
        <f>C11*1.0291</f>
        <v>327.25379999999996</v>
      </c>
      <c r="H11" s="325"/>
      <c r="I11" s="325"/>
      <c r="J11" s="325"/>
      <c r="K11" s="40"/>
      <c r="L11" s="341">
        <f>G11*1.5</f>
        <v>490.88069999999993</v>
      </c>
      <c r="M11" s="341"/>
      <c r="N11" s="341"/>
      <c r="O11" s="341"/>
      <c r="P11" s="40"/>
      <c r="Q11" s="342">
        <f>L11*1.0213</f>
        <v>501.33645891</v>
      </c>
      <c r="R11" s="342"/>
      <c r="S11" s="342"/>
      <c r="T11" s="40"/>
      <c r="U11" s="348">
        <f>Q11*1.029</f>
        <v>515.8752162183899</v>
      </c>
      <c r="V11" s="348"/>
      <c r="W11" s="348"/>
      <c r="X11" s="40"/>
      <c r="Y11" s="356">
        <f>U11*1.0296</f>
        <v>531.1451226184544</v>
      </c>
      <c r="Z11" s="356"/>
      <c r="AA11" s="356"/>
      <c r="AB11" s="29"/>
      <c r="AC11" s="371">
        <f>Y11*1.0287</f>
        <v>546.388987637604</v>
      </c>
      <c r="AD11" s="371"/>
      <c r="AE11" s="372"/>
    </row>
    <row r="12" spans="1:31" s="2" customFormat="1" ht="13.5" customHeight="1">
      <c r="A12" s="135" t="s">
        <v>57</v>
      </c>
      <c r="C12" s="343">
        <f>VLOOKUP($U$3,Add_Recycle,4)</f>
        <v>130</v>
      </c>
      <c r="D12" s="343"/>
      <c r="E12" s="343"/>
      <c r="F12" s="40"/>
      <c r="G12" s="325">
        <f>C12*1.0291</f>
        <v>133.783</v>
      </c>
      <c r="H12" s="325"/>
      <c r="I12" s="325"/>
      <c r="J12" s="325"/>
      <c r="K12" s="40"/>
      <c r="L12" s="341">
        <f>G12*1.5</f>
        <v>200.67449999999997</v>
      </c>
      <c r="M12" s="341"/>
      <c r="N12" s="341"/>
      <c r="O12" s="341"/>
      <c r="P12" s="40"/>
      <c r="Q12" s="342">
        <f>L12*1.0213</f>
        <v>204.94886684999997</v>
      </c>
      <c r="R12" s="342"/>
      <c r="S12" s="342"/>
      <c r="T12" s="40"/>
      <c r="U12" s="348">
        <f>Q12*1.029</f>
        <v>210.89238398864995</v>
      </c>
      <c r="V12" s="348"/>
      <c r="W12" s="348"/>
      <c r="X12" s="40"/>
      <c r="Y12" s="356">
        <f>U12*1.0296</f>
        <v>217.134798554714</v>
      </c>
      <c r="Z12" s="356"/>
      <c r="AA12" s="356"/>
      <c r="AB12" s="29"/>
      <c r="AC12" s="371">
        <f>Y12*1.0287</f>
        <v>223.36656727323427</v>
      </c>
      <c r="AD12" s="371"/>
      <c r="AE12" s="372"/>
    </row>
    <row r="13" spans="1:31" s="2" customFormat="1" ht="13.5" customHeight="1">
      <c r="A13" s="135" t="s">
        <v>36</v>
      </c>
      <c r="C13" s="324">
        <f>IF($C$3&lt;3,VLOOKUP($Y$3,Sewer,4),IF($C$3=10,VLOOKUP($Y$3,Sewer,4),IF($C$3=3,VLOOKUP($Y$3,Sewer,5),IF($C$3=4,VLOOKUP($Y$3,Sewer,5),IF($C$3=11,VLOOKUP($Y$3,Sewer,5),0)))))</f>
        <v>0</v>
      </c>
      <c r="D13" s="324"/>
      <c r="E13" s="324"/>
      <c r="F13" s="40"/>
      <c r="G13" s="325">
        <f>C13*1.0284</f>
        <v>0</v>
      </c>
      <c r="H13" s="325"/>
      <c r="I13" s="325"/>
      <c r="J13" s="325"/>
      <c r="K13" s="40"/>
      <c r="L13" s="395">
        <f>G13*1.0296</f>
        <v>0</v>
      </c>
      <c r="M13" s="395"/>
      <c r="N13" s="395"/>
      <c r="O13" s="395"/>
      <c r="P13" s="40"/>
      <c r="Q13" s="396">
        <f>L13*1.0287</f>
        <v>0</v>
      </c>
      <c r="R13" s="396"/>
      <c r="S13" s="396"/>
      <c r="T13" s="40"/>
      <c r="U13" s="397">
        <f>Q13*1.0298</f>
        <v>0</v>
      </c>
      <c r="V13" s="397"/>
      <c r="W13" s="397"/>
      <c r="X13" s="40"/>
      <c r="Y13" s="308">
        <f>U13*1.0289</f>
        <v>0</v>
      </c>
      <c r="Z13" s="308"/>
      <c r="AA13" s="308"/>
      <c r="AB13" s="29"/>
      <c r="AC13" s="371">
        <f>Y13*1.0299</f>
        <v>0</v>
      </c>
      <c r="AD13" s="371"/>
      <c r="AE13" s="372"/>
    </row>
    <row r="14" spans="1:31" s="2" customFormat="1" ht="13.5" customHeight="1">
      <c r="A14" s="135" t="s">
        <v>37</v>
      </c>
      <c r="C14" s="324">
        <f>-IF($C$3&lt;5,VLOOKUP($AD$3,Pensioner,4),IF($C$3&gt;8,0,VLOOKUP($AD$3,Pensioner,5)))</f>
        <v>-87.5</v>
      </c>
      <c r="D14" s="324"/>
      <c r="E14" s="324"/>
      <c r="F14" s="40"/>
      <c r="G14" s="325">
        <f>C14*1.033</f>
        <v>-90.38749999999999</v>
      </c>
      <c r="H14" s="325"/>
      <c r="I14" s="325"/>
      <c r="J14" s="325"/>
      <c r="K14" s="40"/>
      <c r="L14" s="395">
        <f>G14*1.033</f>
        <v>-93.37028749999998</v>
      </c>
      <c r="M14" s="395"/>
      <c r="N14" s="395"/>
      <c r="O14" s="395"/>
      <c r="P14" s="40"/>
      <c r="Q14" s="396">
        <f>L14*1.033</f>
        <v>-96.45150698749997</v>
      </c>
      <c r="R14" s="396"/>
      <c r="S14" s="396"/>
      <c r="T14" s="40"/>
      <c r="U14" s="397">
        <f>Q14*1.033</f>
        <v>-99.63440671808746</v>
      </c>
      <c r="V14" s="397"/>
      <c r="W14" s="397"/>
      <c r="X14" s="40"/>
      <c r="Y14" s="308">
        <f>U14*1.033</f>
        <v>-102.92234213978433</v>
      </c>
      <c r="Z14" s="308"/>
      <c r="AA14" s="308"/>
      <c r="AB14" s="29"/>
      <c r="AC14" s="371">
        <f>Y14*1.033</f>
        <v>-106.31877943039721</v>
      </c>
      <c r="AD14" s="371"/>
      <c r="AE14" s="372"/>
    </row>
    <row r="15" spans="1:31" s="2" customFormat="1" ht="5.25" customHeight="1">
      <c r="A15" s="136"/>
      <c r="C15" s="115"/>
      <c r="D15" s="115"/>
      <c r="E15" s="115"/>
      <c r="F15" s="40"/>
      <c r="G15" s="103"/>
      <c r="H15" s="103"/>
      <c r="I15" s="103"/>
      <c r="J15" s="103"/>
      <c r="K15" s="40"/>
      <c r="L15" s="104"/>
      <c r="M15" s="104"/>
      <c r="N15" s="104"/>
      <c r="O15" s="104"/>
      <c r="P15" s="40"/>
      <c r="Q15" s="105"/>
      <c r="R15" s="105"/>
      <c r="S15" s="105"/>
      <c r="T15" s="40"/>
      <c r="U15" s="106"/>
      <c r="V15" s="106"/>
      <c r="W15" s="106"/>
      <c r="X15" s="40"/>
      <c r="Y15" s="107"/>
      <c r="Z15" s="107"/>
      <c r="AA15" s="66"/>
      <c r="AB15" s="29"/>
      <c r="AC15" s="67"/>
      <c r="AD15" s="67"/>
      <c r="AE15" s="137"/>
    </row>
    <row r="16" spans="1:31" s="46" customFormat="1" ht="44.25" customHeight="1">
      <c r="A16" s="138" t="s">
        <v>55</v>
      </c>
      <c r="B16" s="49"/>
      <c r="C16" s="323">
        <f>SUM(C8:E9)</f>
        <v>8992.8</v>
      </c>
      <c r="D16" s="323"/>
      <c r="E16" s="323"/>
      <c r="F16" s="50"/>
      <c r="G16" s="316">
        <f>SUM(G8:J9)</f>
        <v>9289.562399999999</v>
      </c>
      <c r="H16" s="316"/>
      <c r="I16" s="316"/>
      <c r="J16" s="316"/>
      <c r="K16" s="50"/>
      <c r="L16" s="398">
        <f>SUM(L8:O9)</f>
        <v>9596.117959199999</v>
      </c>
      <c r="M16" s="398"/>
      <c r="N16" s="398"/>
      <c r="O16" s="398"/>
      <c r="P16" s="50"/>
      <c r="Q16" s="399">
        <f>SUM(Q8:S9)</f>
        <v>9912.789851853599</v>
      </c>
      <c r="R16" s="399"/>
      <c r="S16" s="399"/>
      <c r="T16" s="50"/>
      <c r="U16" s="400">
        <f>SUM(U8:W9)</f>
        <v>10239.911916964766</v>
      </c>
      <c r="V16" s="400"/>
      <c r="W16" s="400"/>
      <c r="X16" s="50"/>
      <c r="Y16" s="401">
        <f>SUM(Y8:AA9)</f>
        <v>10500.354010224602</v>
      </c>
      <c r="Z16" s="401"/>
      <c r="AA16" s="401"/>
      <c r="AB16" s="50"/>
      <c r="AC16" s="402">
        <f>SUM(AC8:AE9)</f>
        <v>10846.865692562014</v>
      </c>
      <c r="AD16" s="402"/>
      <c r="AE16" s="403"/>
    </row>
    <row r="17" spans="1:31" s="46" customFormat="1" ht="4.5" customHeight="1">
      <c r="A17" s="139"/>
      <c r="C17" s="109"/>
      <c r="D17" s="109"/>
      <c r="E17" s="109"/>
      <c r="F17" s="34"/>
      <c r="G17" s="110"/>
      <c r="H17" s="110"/>
      <c r="I17" s="110"/>
      <c r="J17" s="110"/>
      <c r="K17" s="34"/>
      <c r="L17" s="111"/>
      <c r="M17" s="111"/>
      <c r="N17" s="111"/>
      <c r="O17" s="111"/>
      <c r="P17" s="34"/>
      <c r="Q17" s="112"/>
      <c r="R17" s="112"/>
      <c r="S17" s="112"/>
      <c r="T17" s="34"/>
      <c r="U17" s="113"/>
      <c r="V17" s="113"/>
      <c r="W17" s="113"/>
      <c r="X17" s="34"/>
      <c r="Y17" s="114"/>
      <c r="Z17" s="114"/>
      <c r="AA17" s="114"/>
      <c r="AB17" s="34"/>
      <c r="AC17" s="108"/>
      <c r="AD17" s="108"/>
      <c r="AE17" s="140"/>
    </row>
    <row r="18" spans="1:31" s="72" customFormat="1" ht="20.25" customHeight="1">
      <c r="A18" s="141" t="s">
        <v>46</v>
      </c>
      <c r="B18" s="142"/>
      <c r="C18" s="317">
        <f>SUM(C8:E14)</f>
        <v>9745.3</v>
      </c>
      <c r="D18" s="317"/>
      <c r="E18" s="317"/>
      <c r="F18" s="143"/>
      <c r="G18" s="318">
        <f>SUM(G8:J14)</f>
        <v>10063.618899999998</v>
      </c>
      <c r="H18" s="318"/>
      <c r="I18" s="318"/>
      <c r="J18" s="318"/>
      <c r="K18" s="143"/>
      <c r="L18" s="319">
        <f>SUM(L8:O14)</f>
        <v>10799.413671699998</v>
      </c>
      <c r="M18" s="319"/>
      <c r="N18" s="319"/>
      <c r="O18" s="319"/>
      <c r="P18" s="143"/>
      <c r="Q18" s="320">
        <f>SUM(Q8:S14)</f>
        <v>11140.6233306661</v>
      </c>
      <c r="R18" s="320"/>
      <c r="S18" s="320"/>
      <c r="T18" s="143"/>
      <c r="U18" s="321">
        <f>SUM(U8:W14)</f>
        <v>11502.96676063488</v>
      </c>
      <c r="V18" s="321"/>
      <c r="W18" s="321"/>
      <c r="X18" s="143"/>
      <c r="Y18" s="322">
        <f>SUM(Y8:AA14)</f>
        <v>11800.45652028451</v>
      </c>
      <c r="Z18" s="322"/>
      <c r="AA18" s="322"/>
      <c r="AB18" s="143"/>
      <c r="AC18" s="306">
        <f>SUM(AC8:AE14)</f>
        <v>12183.838578589439</v>
      </c>
      <c r="AD18" s="306"/>
      <c r="AE18" s="307"/>
    </row>
    <row r="19" spans="1:31" s="47" customFormat="1" ht="6" customHeight="1">
      <c r="A19" s="48"/>
      <c r="C19" s="56"/>
      <c r="D19" s="56"/>
      <c r="E19" s="56"/>
      <c r="F19" s="35"/>
      <c r="G19" s="59"/>
      <c r="H19" s="59"/>
      <c r="I19" s="59"/>
      <c r="J19" s="59"/>
      <c r="K19" s="35"/>
      <c r="L19" s="84"/>
      <c r="M19" s="84"/>
      <c r="N19" s="84"/>
      <c r="O19" s="84"/>
      <c r="P19" s="35"/>
      <c r="Q19" s="61"/>
      <c r="R19" s="61"/>
      <c r="S19" s="61"/>
      <c r="T19" s="35"/>
      <c r="U19" s="65"/>
      <c r="V19" s="65"/>
      <c r="W19" s="65"/>
      <c r="X19" s="35"/>
      <c r="Y19" s="63"/>
      <c r="Z19" s="63"/>
      <c r="AA19" s="63"/>
      <c r="AB19" s="35"/>
      <c r="AC19" s="68"/>
      <c r="AD19" s="68"/>
      <c r="AE19" s="68"/>
    </row>
    <row r="20" spans="1:31" s="2" customFormat="1" ht="13.5" customHeight="1">
      <c r="A20" s="144" t="s">
        <v>42</v>
      </c>
      <c r="B20" s="145"/>
      <c r="C20" s="309">
        <f>IF($C$3=8,VLOOKUP($C$3,Ordinary_Rates,4),0)</f>
        <v>1120</v>
      </c>
      <c r="D20" s="309"/>
      <c r="E20" s="309"/>
      <c r="F20" s="146"/>
      <c r="G20" s="310">
        <f>C20*1.1</f>
        <v>1232</v>
      </c>
      <c r="H20" s="310"/>
      <c r="I20" s="310"/>
      <c r="J20" s="310"/>
      <c r="K20" s="146"/>
      <c r="L20" s="311">
        <f>G20*1.1</f>
        <v>1355.2</v>
      </c>
      <c r="M20" s="311"/>
      <c r="N20" s="311"/>
      <c r="O20" s="311"/>
      <c r="P20" s="146"/>
      <c r="Q20" s="312">
        <f>L20*1.1</f>
        <v>1490.7200000000003</v>
      </c>
      <c r="R20" s="312"/>
      <c r="S20" s="312"/>
      <c r="T20" s="146"/>
      <c r="U20" s="313">
        <f>Q20*1.1</f>
        <v>1639.7920000000004</v>
      </c>
      <c r="V20" s="313"/>
      <c r="W20" s="313"/>
      <c r="X20" s="146"/>
      <c r="Y20" s="305">
        <f>U20*1.033</f>
        <v>1693.9051360000003</v>
      </c>
      <c r="Z20" s="305"/>
      <c r="AA20" s="305"/>
      <c r="AB20" s="147"/>
      <c r="AC20" s="314">
        <f>Y20*1.033</f>
        <v>1749.8040054880003</v>
      </c>
      <c r="AD20" s="314"/>
      <c r="AE20" s="315"/>
    </row>
    <row r="21" spans="1:31" s="2" customFormat="1" ht="13.5" customHeight="1">
      <c r="A21" s="148" t="s">
        <v>41</v>
      </c>
      <c r="C21" s="324">
        <f>IF($C$3&lt;&gt;8,VLOOKUP($C$3,Ordinary_Rates,4),0)</f>
        <v>0</v>
      </c>
      <c r="D21" s="324"/>
      <c r="E21" s="324"/>
      <c r="F21" s="39"/>
      <c r="G21" s="344">
        <f>C21*1.1</f>
        <v>0</v>
      </c>
      <c r="H21" s="344"/>
      <c r="I21" s="344"/>
      <c r="J21" s="344"/>
      <c r="K21" s="39"/>
      <c r="L21" s="345">
        <f>G21*1.1</f>
        <v>0</v>
      </c>
      <c r="M21" s="345"/>
      <c r="N21" s="345"/>
      <c r="O21" s="345"/>
      <c r="P21" s="39"/>
      <c r="Q21" s="346">
        <f>L21*1.1</f>
        <v>0</v>
      </c>
      <c r="R21" s="346"/>
      <c r="S21" s="346"/>
      <c r="T21" s="39"/>
      <c r="U21" s="375">
        <f>Q21*1.1</f>
        <v>0</v>
      </c>
      <c r="V21" s="375"/>
      <c r="W21" s="375"/>
      <c r="X21" s="39"/>
      <c r="Y21" s="376">
        <f>U21*1.033</f>
        <v>0</v>
      </c>
      <c r="Z21" s="376"/>
      <c r="AA21" s="376"/>
      <c r="AB21" s="33"/>
      <c r="AC21" s="373">
        <f>Y21*1.033</f>
        <v>0</v>
      </c>
      <c r="AD21" s="373"/>
      <c r="AE21" s="404"/>
    </row>
    <row r="22" spans="1:31" s="2" customFormat="1" ht="13.5" customHeight="1">
      <c r="A22" s="148" t="s">
        <v>39</v>
      </c>
      <c r="C22" s="324">
        <f>IF($C$3=8,$A$3*VLOOKUP($C$3,Ordinary_Rates,5)/100,0)</f>
        <v>7872.8</v>
      </c>
      <c r="D22" s="324"/>
      <c r="E22" s="324"/>
      <c r="F22" s="39"/>
      <c r="G22" s="344">
        <f>C22*1.1</f>
        <v>8660.080000000002</v>
      </c>
      <c r="H22" s="344"/>
      <c r="I22" s="344"/>
      <c r="J22" s="344"/>
      <c r="K22" s="39"/>
      <c r="L22" s="345">
        <f>G22*1.1</f>
        <v>9526.088000000003</v>
      </c>
      <c r="M22" s="345"/>
      <c r="N22" s="345"/>
      <c r="O22" s="345"/>
      <c r="P22" s="39"/>
      <c r="Q22" s="346">
        <f>L22*1.1</f>
        <v>10478.696800000005</v>
      </c>
      <c r="R22" s="346"/>
      <c r="S22" s="346"/>
      <c r="T22" s="39"/>
      <c r="U22" s="375">
        <f>Q22*1.1</f>
        <v>11526.566480000007</v>
      </c>
      <c r="V22" s="375"/>
      <c r="W22" s="375"/>
      <c r="X22" s="39"/>
      <c r="Y22" s="376">
        <f>U22*1.033</f>
        <v>11906.943173840005</v>
      </c>
      <c r="Z22" s="376"/>
      <c r="AA22" s="376"/>
      <c r="AB22" s="33"/>
      <c r="AC22" s="373">
        <f>Y22*1.033</f>
        <v>12299.872298576725</v>
      </c>
      <c r="AD22" s="373"/>
      <c r="AE22" s="404"/>
    </row>
    <row r="23" spans="1:31" s="2" customFormat="1" ht="13.5" customHeight="1">
      <c r="A23" s="148" t="s">
        <v>40</v>
      </c>
      <c r="C23" s="324">
        <f>IF($C$3&lt;&gt;8,$A$3*VLOOKUP($C$3,Ordinary_Rates,5)/100,0)</f>
        <v>0</v>
      </c>
      <c r="D23" s="324"/>
      <c r="E23" s="324"/>
      <c r="F23" s="39"/>
      <c r="G23" s="325">
        <f>C23*1.1</f>
        <v>0</v>
      </c>
      <c r="H23" s="325"/>
      <c r="I23" s="325"/>
      <c r="J23" s="325"/>
      <c r="K23" s="39"/>
      <c r="L23" s="395">
        <f>G23*1.1</f>
        <v>0</v>
      </c>
      <c r="M23" s="395"/>
      <c r="N23" s="395"/>
      <c r="O23" s="395"/>
      <c r="P23" s="39"/>
      <c r="Q23" s="396">
        <f>L23*1.1</f>
        <v>0</v>
      </c>
      <c r="R23" s="396"/>
      <c r="S23" s="396"/>
      <c r="T23" s="39"/>
      <c r="U23" s="397">
        <f>Q23*1.1</f>
        <v>0</v>
      </c>
      <c r="V23" s="397"/>
      <c r="W23" s="397"/>
      <c r="X23" s="39"/>
      <c r="Y23" s="308">
        <f>U23*1.033</f>
        <v>0</v>
      </c>
      <c r="Z23" s="308"/>
      <c r="AA23" s="308"/>
      <c r="AB23" s="33"/>
      <c r="AC23" s="405">
        <f>Y23*1.033</f>
        <v>0</v>
      </c>
      <c r="AD23" s="405"/>
      <c r="AE23" s="406"/>
    </row>
    <row r="24" spans="1:31" s="2" customFormat="1" ht="12.75">
      <c r="A24" s="148" t="s">
        <v>30</v>
      </c>
      <c r="C24" s="324">
        <f>VLOOKUP($I$3,Waste_Mgmt,4)</f>
        <v>392</v>
      </c>
      <c r="D24" s="324"/>
      <c r="E24" s="324"/>
      <c r="F24" s="29"/>
      <c r="G24" s="347">
        <f>C24*1.0291</f>
        <v>403.4072</v>
      </c>
      <c r="H24" s="347"/>
      <c r="I24" s="347"/>
      <c r="J24" s="347"/>
      <c r="K24" s="29"/>
      <c r="L24" s="341">
        <f>G24*1.5</f>
        <v>605.1107999999999</v>
      </c>
      <c r="M24" s="341"/>
      <c r="N24" s="341"/>
      <c r="O24" s="341"/>
      <c r="P24" s="29"/>
      <c r="Q24" s="342">
        <f>L24*1.0213</f>
        <v>617.99966004</v>
      </c>
      <c r="R24" s="342"/>
      <c r="S24" s="342"/>
      <c r="T24" s="29"/>
      <c r="U24" s="348">
        <f>Q24*1.029</f>
        <v>635.92165018116</v>
      </c>
      <c r="V24" s="348"/>
      <c r="W24" s="348"/>
      <c r="X24" s="29"/>
      <c r="Y24" s="356">
        <f>U24*1.0296</f>
        <v>654.7449310265224</v>
      </c>
      <c r="Z24" s="356"/>
      <c r="AA24" s="356"/>
      <c r="AB24" s="29"/>
      <c r="AC24" s="371">
        <f>Y24*1.0287</f>
        <v>673.5361105469835</v>
      </c>
      <c r="AD24" s="371"/>
      <c r="AE24" s="407"/>
    </row>
    <row r="25" spans="1:31" s="2" customFormat="1" ht="13.5" customHeight="1">
      <c r="A25" s="148" t="s">
        <v>31</v>
      </c>
      <c r="C25" s="343">
        <f>VLOOKUP($R$3,Add_Garbage,4)</f>
        <v>318</v>
      </c>
      <c r="D25" s="343"/>
      <c r="E25" s="343"/>
      <c r="F25" s="40"/>
      <c r="G25" s="325">
        <f>C25*1.0291</f>
        <v>327.25379999999996</v>
      </c>
      <c r="H25" s="325"/>
      <c r="I25" s="325"/>
      <c r="J25" s="325"/>
      <c r="K25" s="40"/>
      <c r="L25" s="341">
        <f>G25*1.5</f>
        <v>490.88069999999993</v>
      </c>
      <c r="M25" s="341"/>
      <c r="N25" s="341"/>
      <c r="O25" s="341"/>
      <c r="P25" s="40"/>
      <c r="Q25" s="342">
        <f>L25*1.0213</f>
        <v>501.33645891</v>
      </c>
      <c r="R25" s="342"/>
      <c r="S25" s="342"/>
      <c r="T25" s="40"/>
      <c r="U25" s="348">
        <f>Q25*1.029</f>
        <v>515.8752162183899</v>
      </c>
      <c r="V25" s="348"/>
      <c r="W25" s="348"/>
      <c r="X25" s="40"/>
      <c r="Y25" s="356">
        <f>U25*1.0296</f>
        <v>531.1451226184544</v>
      </c>
      <c r="Z25" s="356"/>
      <c r="AA25" s="356"/>
      <c r="AB25" s="29"/>
      <c r="AC25" s="371">
        <f>Y25*1.0287</f>
        <v>546.388987637604</v>
      </c>
      <c r="AD25" s="371"/>
      <c r="AE25" s="407"/>
    </row>
    <row r="26" spans="1:31" s="2" customFormat="1" ht="13.5" customHeight="1">
      <c r="A26" s="148" t="s">
        <v>32</v>
      </c>
      <c r="C26" s="343">
        <f>VLOOKUP($U$3,Add_Recycle,4)</f>
        <v>130</v>
      </c>
      <c r="D26" s="343"/>
      <c r="E26" s="343"/>
      <c r="F26" s="40"/>
      <c r="G26" s="325">
        <f>C26*1.0291</f>
        <v>133.783</v>
      </c>
      <c r="H26" s="325"/>
      <c r="I26" s="325"/>
      <c r="J26" s="325"/>
      <c r="K26" s="40"/>
      <c r="L26" s="341">
        <f>G26*1.5</f>
        <v>200.67449999999997</v>
      </c>
      <c r="M26" s="341"/>
      <c r="N26" s="341"/>
      <c r="O26" s="341"/>
      <c r="P26" s="40"/>
      <c r="Q26" s="342">
        <f>L26*1.0213</f>
        <v>204.94886684999997</v>
      </c>
      <c r="R26" s="342"/>
      <c r="S26" s="342"/>
      <c r="T26" s="40"/>
      <c r="U26" s="348">
        <f>Q26*1.029</f>
        <v>210.89238398864995</v>
      </c>
      <c r="V26" s="348"/>
      <c r="W26" s="348"/>
      <c r="X26" s="40"/>
      <c r="Y26" s="356">
        <f>U26*1.0296</f>
        <v>217.134798554714</v>
      </c>
      <c r="Z26" s="356"/>
      <c r="AA26" s="356"/>
      <c r="AB26" s="29"/>
      <c r="AC26" s="371">
        <f>Y26*1.0287</f>
        <v>223.36656727323427</v>
      </c>
      <c r="AD26" s="371"/>
      <c r="AE26" s="407"/>
    </row>
    <row r="27" spans="1:31" s="2" customFormat="1" ht="13.5" customHeight="1">
      <c r="A27" s="148" t="s">
        <v>36</v>
      </c>
      <c r="C27" s="324">
        <f>IF($C$3&lt;3,VLOOKUP($Y$3,Sewer,4),IF($C$3=10,VLOOKUP($Y$3,Sewer,4),IF($C$3=3,VLOOKUP($Y$3,Sewer,5),IF($C$3=4,VLOOKUP($Y$3,Sewer,5),IF($C$3=11,VLOOKUP($Y$3,Sewer,5),0)))))</f>
        <v>0</v>
      </c>
      <c r="D27" s="324"/>
      <c r="E27" s="324"/>
      <c r="F27" s="40"/>
      <c r="G27" s="325">
        <f>C27*1.0284</f>
        <v>0</v>
      </c>
      <c r="H27" s="325"/>
      <c r="I27" s="325"/>
      <c r="J27" s="325"/>
      <c r="K27" s="40"/>
      <c r="L27" s="395">
        <f>G27*1.0296</f>
        <v>0</v>
      </c>
      <c r="M27" s="395"/>
      <c r="N27" s="395"/>
      <c r="O27" s="395"/>
      <c r="P27" s="40"/>
      <c r="Q27" s="396">
        <f>L27*1.0287</f>
        <v>0</v>
      </c>
      <c r="R27" s="396"/>
      <c r="S27" s="396"/>
      <c r="T27" s="40"/>
      <c r="U27" s="397">
        <f>Q27*1.0298</f>
        <v>0</v>
      </c>
      <c r="V27" s="397"/>
      <c r="W27" s="397"/>
      <c r="X27" s="40"/>
      <c r="Y27" s="308">
        <f>U27*1.0289</f>
        <v>0</v>
      </c>
      <c r="Z27" s="308"/>
      <c r="AA27" s="308"/>
      <c r="AB27" s="29"/>
      <c r="AC27" s="371">
        <f>Y27*1.0299</f>
        <v>0</v>
      </c>
      <c r="AD27" s="371"/>
      <c r="AE27" s="407"/>
    </row>
    <row r="28" spans="1:31" s="2" customFormat="1" ht="13.5" customHeight="1">
      <c r="A28" s="148" t="s">
        <v>37</v>
      </c>
      <c r="C28" s="324">
        <f>-IF($C$3&lt;5,VLOOKUP($AD$3,Pensioner,4),IF($C$3&gt;8,0,VLOOKUP($AD$3,Pensioner,5)))</f>
        <v>-87.5</v>
      </c>
      <c r="D28" s="324"/>
      <c r="E28" s="324"/>
      <c r="F28" s="40"/>
      <c r="G28" s="325">
        <f>C28*1.1</f>
        <v>-96.25000000000001</v>
      </c>
      <c r="H28" s="325"/>
      <c r="I28" s="325"/>
      <c r="J28" s="325"/>
      <c r="K28" s="40"/>
      <c r="L28" s="395">
        <f>G28*1.11</f>
        <v>-106.83750000000002</v>
      </c>
      <c r="M28" s="395"/>
      <c r="N28" s="395"/>
      <c r="O28" s="395"/>
      <c r="P28" s="40"/>
      <c r="Q28" s="396">
        <f>L28*1.1</f>
        <v>-117.52125000000004</v>
      </c>
      <c r="R28" s="396"/>
      <c r="S28" s="396"/>
      <c r="T28" s="40"/>
      <c r="U28" s="397">
        <f>Q28*1.1</f>
        <v>-129.27337500000004</v>
      </c>
      <c r="V28" s="397"/>
      <c r="W28" s="397"/>
      <c r="X28" s="40"/>
      <c r="Y28" s="308">
        <f>U28*1.033</f>
        <v>-133.53939637500002</v>
      </c>
      <c r="Z28" s="308"/>
      <c r="AA28" s="308"/>
      <c r="AB28" s="29"/>
      <c r="AC28" s="371">
        <f>Y28*1.033</f>
        <v>-137.946196455375</v>
      </c>
      <c r="AD28" s="371"/>
      <c r="AE28" s="407"/>
    </row>
    <row r="29" spans="1:31" s="46" customFormat="1" ht="43.5" customHeight="1">
      <c r="A29" s="51" t="s">
        <v>58</v>
      </c>
      <c r="B29" s="43"/>
      <c r="C29" s="323">
        <f>SUM(C20:E23)</f>
        <v>8992.8</v>
      </c>
      <c r="D29" s="323"/>
      <c r="E29" s="323"/>
      <c r="F29" s="43"/>
      <c r="G29" s="316">
        <f>SUM(G20:J23)</f>
        <v>9892.080000000002</v>
      </c>
      <c r="H29" s="316"/>
      <c r="I29" s="316"/>
      <c r="J29" s="316"/>
      <c r="K29" s="44"/>
      <c r="L29" s="398">
        <f>SUM(L20:O23)</f>
        <v>10881.288000000004</v>
      </c>
      <c r="M29" s="398"/>
      <c r="N29" s="398"/>
      <c r="O29" s="398"/>
      <c r="P29" s="44"/>
      <c r="Q29" s="399">
        <f>SUM(Q20:S23)</f>
        <v>11969.416800000006</v>
      </c>
      <c r="R29" s="399"/>
      <c r="S29" s="399"/>
      <c r="T29" s="44"/>
      <c r="U29" s="400">
        <f>SUM(U20:W23)</f>
        <v>13166.358480000006</v>
      </c>
      <c r="V29" s="400"/>
      <c r="W29" s="400"/>
      <c r="X29" s="44"/>
      <c r="Y29" s="401">
        <f>SUM(Y20:AA23)</f>
        <v>13600.848309840007</v>
      </c>
      <c r="Z29" s="401"/>
      <c r="AA29" s="401"/>
      <c r="AB29" s="44"/>
      <c r="AC29" s="408">
        <f>SUM(AC20:AE23)</f>
        <v>14049.676304064726</v>
      </c>
      <c r="AD29" s="408"/>
      <c r="AE29" s="409"/>
    </row>
    <row r="30" spans="1:31" s="46" customFormat="1" ht="4.5" customHeight="1">
      <c r="A30" s="149"/>
      <c r="C30" s="109"/>
      <c r="D30" s="109"/>
      <c r="E30" s="109"/>
      <c r="F30" s="34"/>
      <c r="G30" s="110"/>
      <c r="H30" s="110"/>
      <c r="I30" s="110"/>
      <c r="J30" s="110"/>
      <c r="K30" s="34"/>
      <c r="L30" s="111"/>
      <c r="M30" s="111"/>
      <c r="N30" s="111"/>
      <c r="O30" s="111"/>
      <c r="P30" s="34"/>
      <c r="Q30" s="112"/>
      <c r="R30" s="112"/>
      <c r="S30" s="112"/>
      <c r="T30" s="34"/>
      <c r="U30" s="113"/>
      <c r="V30" s="113"/>
      <c r="W30" s="113"/>
      <c r="X30" s="34"/>
      <c r="Y30" s="114"/>
      <c r="Z30" s="114"/>
      <c r="AA30" s="114"/>
      <c r="AB30" s="34"/>
      <c r="AC30" s="116"/>
      <c r="AD30" s="116"/>
      <c r="AE30" s="150"/>
    </row>
    <row r="31" spans="1:31" s="72" customFormat="1" ht="15.75" customHeight="1">
      <c r="A31" s="151" t="s">
        <v>47</v>
      </c>
      <c r="B31" s="73"/>
      <c r="C31" s="410">
        <f>C16-C29</f>
        <v>0</v>
      </c>
      <c r="D31" s="410"/>
      <c r="E31" s="410"/>
      <c r="F31" s="44"/>
      <c r="G31" s="411">
        <f>G29-G16</f>
        <v>602.5176000000029</v>
      </c>
      <c r="H31" s="411"/>
      <c r="I31" s="411"/>
      <c r="J31" s="411"/>
      <c r="K31" s="44"/>
      <c r="L31" s="412">
        <f>L29-L16</f>
        <v>1285.1700408000052</v>
      </c>
      <c r="M31" s="412"/>
      <c r="N31" s="412"/>
      <c r="O31" s="412"/>
      <c r="P31" s="44"/>
      <c r="Q31" s="413">
        <f>Q29-Q16</f>
        <v>2056.626948146408</v>
      </c>
      <c r="R31" s="413"/>
      <c r="S31" s="413"/>
      <c r="T31" s="44"/>
      <c r="U31" s="414">
        <f>U29-U16</f>
        <v>2926.4465630352406</v>
      </c>
      <c r="V31" s="414"/>
      <c r="W31" s="414"/>
      <c r="X31" s="44"/>
      <c r="Y31" s="419">
        <f>Y29-Y16</f>
        <v>3100.494299615404</v>
      </c>
      <c r="Z31" s="419"/>
      <c r="AA31" s="419"/>
      <c r="AB31" s="44"/>
      <c r="AC31" s="420">
        <f>AC29-AC16</f>
        <v>3202.8106115027113</v>
      </c>
      <c r="AD31" s="420"/>
      <c r="AE31" s="421"/>
    </row>
    <row r="32" spans="1:31" s="47" customFormat="1" ht="4.5" customHeight="1">
      <c r="A32" s="152"/>
      <c r="C32" s="71"/>
      <c r="D32" s="71"/>
      <c r="E32" s="71"/>
      <c r="F32" s="35"/>
      <c r="G32" s="74"/>
      <c r="H32" s="74"/>
      <c r="I32" s="74"/>
      <c r="J32" s="74"/>
      <c r="K32" s="35"/>
      <c r="L32" s="85"/>
      <c r="M32" s="85"/>
      <c r="N32" s="85"/>
      <c r="O32" s="85"/>
      <c r="P32" s="35"/>
      <c r="Q32" s="75"/>
      <c r="R32" s="75"/>
      <c r="S32" s="75"/>
      <c r="T32" s="35"/>
      <c r="U32" s="76"/>
      <c r="V32" s="76"/>
      <c r="W32" s="76"/>
      <c r="X32" s="35"/>
      <c r="Y32" s="77"/>
      <c r="Z32" s="77"/>
      <c r="AA32" s="77"/>
      <c r="AB32" s="35"/>
      <c r="AC32" s="78"/>
      <c r="AD32" s="78"/>
      <c r="AE32" s="153"/>
    </row>
    <row r="33" spans="1:31" s="72" customFormat="1" ht="15.75" customHeight="1">
      <c r="A33" s="151" t="s">
        <v>49</v>
      </c>
      <c r="B33" s="73"/>
      <c r="C33" s="410">
        <v>0</v>
      </c>
      <c r="D33" s="410"/>
      <c r="E33" s="410"/>
      <c r="F33" s="44"/>
      <c r="G33" s="411">
        <f>G31</f>
        <v>602.5176000000029</v>
      </c>
      <c r="H33" s="411"/>
      <c r="I33" s="411"/>
      <c r="J33" s="411"/>
      <c r="K33" s="44"/>
      <c r="L33" s="412">
        <f>G33+L31</f>
        <v>1887.687640800008</v>
      </c>
      <c r="M33" s="412"/>
      <c r="N33" s="412"/>
      <c r="O33" s="412"/>
      <c r="P33" s="44"/>
      <c r="Q33" s="413">
        <f>L33+Q31</f>
        <v>3944.314588946416</v>
      </c>
      <c r="R33" s="413"/>
      <c r="S33" s="413"/>
      <c r="T33" s="44"/>
      <c r="U33" s="414">
        <f>Q33+U31</f>
        <v>6870.761151981656</v>
      </c>
      <c r="V33" s="414"/>
      <c r="W33" s="414"/>
      <c r="X33" s="44"/>
      <c r="Y33" s="419">
        <f>U33+Y31</f>
        <v>9971.25545159706</v>
      </c>
      <c r="Z33" s="419"/>
      <c r="AA33" s="419"/>
      <c r="AB33" s="44"/>
      <c r="AC33" s="420">
        <f>Y33+AC31</f>
        <v>13174.066063099772</v>
      </c>
      <c r="AD33" s="420"/>
      <c r="AE33" s="421"/>
    </row>
    <row r="34" spans="1:31" s="72" customFormat="1" ht="5.25" customHeight="1">
      <c r="A34" s="154"/>
      <c r="C34" s="123"/>
      <c r="D34" s="123"/>
      <c r="E34" s="123"/>
      <c r="F34" s="34"/>
      <c r="G34" s="124"/>
      <c r="H34" s="124"/>
      <c r="I34" s="124"/>
      <c r="J34" s="124"/>
      <c r="K34" s="34"/>
      <c r="L34" s="125"/>
      <c r="M34" s="125"/>
      <c r="N34" s="125"/>
      <c r="O34" s="125"/>
      <c r="P34" s="34"/>
      <c r="Q34" s="126"/>
      <c r="R34" s="126"/>
      <c r="S34" s="126"/>
      <c r="T34" s="34"/>
      <c r="U34" s="127"/>
      <c r="V34" s="127"/>
      <c r="W34" s="127"/>
      <c r="X34" s="34"/>
      <c r="Y34" s="128"/>
      <c r="Z34" s="128"/>
      <c r="AA34" s="128"/>
      <c r="AB34" s="34"/>
      <c r="AC34" s="129"/>
      <c r="AD34" s="129"/>
      <c r="AE34" s="155"/>
    </row>
    <row r="35" spans="1:31" s="72" customFormat="1" ht="15.75" customHeight="1">
      <c r="A35" s="151" t="s">
        <v>46</v>
      </c>
      <c r="B35" s="73"/>
      <c r="C35" s="323">
        <f>SUM(C20:E28)</f>
        <v>9745.3</v>
      </c>
      <c r="D35" s="323"/>
      <c r="E35" s="323"/>
      <c r="F35" s="44"/>
      <c r="G35" s="316">
        <f>SUM(G20:J28)</f>
        <v>10660.274000000001</v>
      </c>
      <c r="H35" s="316"/>
      <c r="I35" s="316"/>
      <c r="J35" s="316"/>
      <c r="K35" s="44"/>
      <c r="L35" s="398">
        <f>SUM(L20:O28)</f>
        <v>12071.116500000004</v>
      </c>
      <c r="M35" s="398"/>
      <c r="N35" s="398"/>
      <c r="O35" s="398"/>
      <c r="P35" s="44"/>
      <c r="Q35" s="399">
        <f>SUM(Q20:S28)</f>
        <v>13176.180535800007</v>
      </c>
      <c r="R35" s="399"/>
      <c r="S35" s="399"/>
      <c r="T35" s="44"/>
      <c r="U35" s="400">
        <f>SUM(U20:W28)</f>
        <v>14399.774355388206</v>
      </c>
      <c r="V35" s="400"/>
      <c r="W35" s="400"/>
      <c r="X35" s="44"/>
      <c r="Y35" s="401">
        <f>SUM(Y20:AA28)</f>
        <v>14870.333765664698</v>
      </c>
      <c r="Z35" s="401"/>
      <c r="AA35" s="401"/>
      <c r="AB35" s="44"/>
      <c r="AC35" s="402">
        <f>SUM(AC20:AE28)</f>
        <v>15355.021773067172</v>
      </c>
      <c r="AD35" s="402"/>
      <c r="AE35" s="430"/>
    </row>
    <row r="36" spans="1:31" s="72" customFormat="1" ht="6" customHeight="1">
      <c r="A36" s="154"/>
      <c r="C36" s="109"/>
      <c r="D36" s="109"/>
      <c r="E36" s="109"/>
      <c r="F36" s="34"/>
      <c r="G36" s="110"/>
      <c r="H36" s="110"/>
      <c r="I36" s="110"/>
      <c r="J36" s="110"/>
      <c r="K36" s="34"/>
      <c r="L36" s="111"/>
      <c r="M36" s="111"/>
      <c r="N36" s="111"/>
      <c r="O36" s="111"/>
      <c r="P36" s="34"/>
      <c r="Q36" s="112"/>
      <c r="R36" s="112"/>
      <c r="S36" s="112"/>
      <c r="T36" s="34"/>
      <c r="U36" s="113"/>
      <c r="V36" s="113"/>
      <c r="W36" s="113"/>
      <c r="X36" s="34"/>
      <c r="Y36" s="114"/>
      <c r="Z36" s="114"/>
      <c r="AA36" s="114"/>
      <c r="AB36" s="34"/>
      <c r="AC36" s="108"/>
      <c r="AD36" s="108"/>
      <c r="AE36" s="156"/>
    </row>
    <row r="37" spans="1:31" s="47" customFormat="1" ht="15.75" customHeight="1">
      <c r="A37" s="157" t="s">
        <v>50</v>
      </c>
      <c r="B37" s="158"/>
      <c r="C37" s="422">
        <f>(C35-C18)/C35</f>
        <v>0</v>
      </c>
      <c r="D37" s="422"/>
      <c r="E37" s="422"/>
      <c r="F37" s="159"/>
      <c r="G37" s="423">
        <f>(G35-G18)/G35</f>
        <v>0.05596995912112611</v>
      </c>
      <c r="H37" s="423"/>
      <c r="I37" s="423"/>
      <c r="J37" s="423"/>
      <c r="K37" s="159"/>
      <c r="L37" s="424">
        <f>(L35-L18)/L35</f>
        <v>0.10535088682973154</v>
      </c>
      <c r="M37" s="424"/>
      <c r="N37" s="424"/>
      <c r="O37" s="424"/>
      <c r="P37" s="159"/>
      <c r="Q37" s="425">
        <f>(Q35-Q18)/Q35</f>
        <v>0.154487652897837</v>
      </c>
      <c r="R37" s="425"/>
      <c r="S37" s="425"/>
      <c r="T37" s="159"/>
      <c r="U37" s="426">
        <f>(U35-U18)/U35</f>
        <v>0.201170346372086</v>
      </c>
      <c r="V37" s="426"/>
      <c r="W37" s="426"/>
      <c r="X37" s="159"/>
      <c r="Y37" s="427">
        <f>(Y35-Y18)/Y35</f>
        <v>0.2064430626613421</v>
      </c>
      <c r="Z37" s="427"/>
      <c r="AA37" s="427"/>
      <c r="AB37" s="159"/>
      <c r="AC37" s="431">
        <f>(AC35-AC18)/AC35</f>
        <v>0.20652417439355333</v>
      </c>
      <c r="AD37" s="431"/>
      <c r="AE37" s="432"/>
    </row>
    <row r="38" spans="1:31" s="47" customFormat="1" ht="6" customHeight="1">
      <c r="A38" s="48"/>
      <c r="C38" s="57"/>
      <c r="D38" s="57"/>
      <c r="E38" s="57"/>
      <c r="F38" s="35"/>
      <c r="G38" s="59"/>
      <c r="H38" s="59"/>
      <c r="I38" s="59"/>
      <c r="J38" s="59"/>
      <c r="K38" s="35"/>
      <c r="L38" s="84"/>
      <c r="M38" s="84"/>
      <c r="N38" s="84"/>
      <c r="O38" s="84"/>
      <c r="P38" s="35"/>
      <c r="Q38" s="61"/>
      <c r="R38" s="61"/>
      <c r="S38" s="61"/>
      <c r="T38" s="35"/>
      <c r="U38" s="65"/>
      <c r="V38" s="65"/>
      <c r="W38" s="65"/>
      <c r="X38" s="35"/>
      <c r="Y38" s="63"/>
      <c r="Z38" s="63"/>
      <c r="AA38" s="63"/>
      <c r="AB38" s="35"/>
      <c r="AC38" s="68"/>
      <c r="AD38" s="68"/>
      <c r="AE38" s="68"/>
    </row>
    <row r="39" spans="1:31" s="2" customFormat="1" ht="13.5" customHeight="1">
      <c r="A39" s="160" t="s">
        <v>42</v>
      </c>
      <c r="B39" s="161"/>
      <c r="C39" s="415">
        <f>IF($C$3=8,VLOOKUP($C$3,Ordinary_Rates,4),0)</f>
        <v>1120</v>
      </c>
      <c r="D39" s="415"/>
      <c r="E39" s="415"/>
      <c r="F39" s="162"/>
      <c r="G39" s="416">
        <f>C39*1.15</f>
        <v>1288</v>
      </c>
      <c r="H39" s="416"/>
      <c r="I39" s="416"/>
      <c r="J39" s="416"/>
      <c r="K39" s="162"/>
      <c r="L39" s="417">
        <f>G39*1.15</f>
        <v>1481.1999999999998</v>
      </c>
      <c r="M39" s="417"/>
      <c r="N39" s="417"/>
      <c r="O39" s="417"/>
      <c r="P39" s="162"/>
      <c r="Q39" s="418">
        <f>L39*1.15</f>
        <v>1703.3799999999997</v>
      </c>
      <c r="R39" s="418"/>
      <c r="S39" s="418"/>
      <c r="T39" s="162"/>
      <c r="U39" s="433">
        <f>Q39*1.15</f>
        <v>1958.8869999999995</v>
      </c>
      <c r="V39" s="433"/>
      <c r="W39" s="433"/>
      <c r="X39" s="162"/>
      <c r="Y39" s="434">
        <f>U39*1.033</f>
        <v>2023.5302709999994</v>
      </c>
      <c r="Z39" s="434"/>
      <c r="AA39" s="434"/>
      <c r="AB39" s="163"/>
      <c r="AC39" s="428">
        <f>Y39*1.033</f>
        <v>2090.3067699429994</v>
      </c>
      <c r="AD39" s="428"/>
      <c r="AE39" s="429"/>
    </row>
    <row r="40" spans="1:31" s="2" customFormat="1" ht="13.5" customHeight="1">
      <c r="A40" s="164" t="s">
        <v>41</v>
      </c>
      <c r="C40" s="324">
        <f>IF($C$3&lt;&gt;8,VLOOKUP($C$3,Ordinary_Rates,4),0)</f>
        <v>0</v>
      </c>
      <c r="D40" s="324"/>
      <c r="E40" s="324"/>
      <c r="F40" s="39"/>
      <c r="G40" s="344">
        <f>C40*1.15</f>
        <v>0</v>
      </c>
      <c r="H40" s="344"/>
      <c r="I40" s="344"/>
      <c r="J40" s="344"/>
      <c r="K40" s="39"/>
      <c r="L40" s="345">
        <f>G40*1.15</f>
        <v>0</v>
      </c>
      <c r="M40" s="345"/>
      <c r="N40" s="345"/>
      <c r="O40" s="345"/>
      <c r="P40" s="39"/>
      <c r="Q40" s="346">
        <f>L40*1.15</f>
        <v>0</v>
      </c>
      <c r="R40" s="346"/>
      <c r="S40" s="346"/>
      <c r="T40" s="39"/>
      <c r="U40" s="375">
        <f>Q40*1.15</f>
        <v>0</v>
      </c>
      <c r="V40" s="375"/>
      <c r="W40" s="375"/>
      <c r="X40" s="39"/>
      <c r="Y40" s="376">
        <f>U40*1.033</f>
        <v>0</v>
      </c>
      <c r="Z40" s="376"/>
      <c r="AA40" s="376"/>
      <c r="AB40" s="33"/>
      <c r="AC40" s="373">
        <f>Y40*1.033</f>
        <v>0</v>
      </c>
      <c r="AD40" s="373"/>
      <c r="AE40" s="437"/>
    </row>
    <row r="41" spans="1:31" s="2" customFormat="1" ht="13.5" customHeight="1">
      <c r="A41" s="164" t="s">
        <v>39</v>
      </c>
      <c r="C41" s="324">
        <f>IF($C$3=8,$A$3*VLOOKUP($C$3,Ordinary_Rates,5)/100,0)</f>
        <v>7872.8</v>
      </c>
      <c r="D41" s="324"/>
      <c r="E41" s="324"/>
      <c r="F41" s="39"/>
      <c r="G41" s="344">
        <f>C41*1.15</f>
        <v>9053.72</v>
      </c>
      <c r="H41" s="344"/>
      <c r="I41" s="344"/>
      <c r="J41" s="344"/>
      <c r="K41" s="39"/>
      <c r="L41" s="345">
        <f>G41*1.15</f>
        <v>10411.777999999998</v>
      </c>
      <c r="M41" s="345"/>
      <c r="N41" s="345"/>
      <c r="O41" s="345"/>
      <c r="P41" s="39"/>
      <c r="Q41" s="346">
        <f>L41*1.15</f>
        <v>11973.544699999997</v>
      </c>
      <c r="R41" s="346"/>
      <c r="S41" s="346"/>
      <c r="T41" s="39"/>
      <c r="U41" s="375">
        <f>Q41*1.15</f>
        <v>13769.576404999994</v>
      </c>
      <c r="V41" s="375"/>
      <c r="W41" s="375"/>
      <c r="X41" s="39"/>
      <c r="Y41" s="376">
        <f>U41*1.033</f>
        <v>14223.972426364993</v>
      </c>
      <c r="Z41" s="376"/>
      <c r="AA41" s="376"/>
      <c r="AB41" s="33"/>
      <c r="AC41" s="373">
        <f>Y41*1.033</f>
        <v>14693.363516435036</v>
      </c>
      <c r="AD41" s="373"/>
      <c r="AE41" s="437"/>
    </row>
    <row r="42" spans="1:31" s="2" customFormat="1" ht="13.5" customHeight="1">
      <c r="A42" s="164" t="s">
        <v>40</v>
      </c>
      <c r="C42" s="324">
        <f>IF($C$3&lt;&gt;8,$A$3*VLOOKUP($C$3,Ordinary_Rates,5)/100,0)</f>
        <v>0</v>
      </c>
      <c r="D42" s="324"/>
      <c r="E42" s="324"/>
      <c r="F42" s="39"/>
      <c r="G42" s="325">
        <f>C42*1.15</f>
        <v>0</v>
      </c>
      <c r="H42" s="325"/>
      <c r="I42" s="325"/>
      <c r="J42" s="325"/>
      <c r="K42" s="39"/>
      <c r="L42" s="395">
        <f>G42*1.15</f>
        <v>0</v>
      </c>
      <c r="M42" s="395"/>
      <c r="N42" s="395"/>
      <c r="O42" s="395"/>
      <c r="P42" s="39"/>
      <c r="Q42" s="396">
        <f>L42*1.15</f>
        <v>0</v>
      </c>
      <c r="R42" s="396"/>
      <c r="S42" s="396"/>
      <c r="T42" s="39"/>
      <c r="U42" s="397">
        <f>Q42*1.15</f>
        <v>0</v>
      </c>
      <c r="V42" s="397"/>
      <c r="W42" s="397"/>
      <c r="X42" s="39"/>
      <c r="Y42" s="308">
        <f>U42*1.033</f>
        <v>0</v>
      </c>
      <c r="Z42" s="308"/>
      <c r="AA42" s="308"/>
      <c r="AB42" s="33"/>
      <c r="AC42" s="405">
        <f>Y42*1.033</f>
        <v>0</v>
      </c>
      <c r="AD42" s="405"/>
      <c r="AE42" s="435"/>
    </row>
    <row r="43" spans="1:31" s="2" customFormat="1" ht="12.75">
      <c r="A43" s="164" t="s">
        <v>30</v>
      </c>
      <c r="C43" s="324">
        <f>VLOOKUP($I$3,Waste_Mgmt,4)</f>
        <v>392</v>
      </c>
      <c r="D43" s="324"/>
      <c r="E43" s="324"/>
      <c r="F43" s="29"/>
      <c r="G43" s="347">
        <f>C43*1.0291</f>
        <v>403.4072</v>
      </c>
      <c r="H43" s="347"/>
      <c r="I43" s="347"/>
      <c r="J43" s="347"/>
      <c r="K43" s="29"/>
      <c r="L43" s="341">
        <f>G43*1.5</f>
        <v>605.1107999999999</v>
      </c>
      <c r="M43" s="341"/>
      <c r="N43" s="341"/>
      <c r="O43" s="341"/>
      <c r="P43" s="29"/>
      <c r="Q43" s="342">
        <f>L43*1.0213</f>
        <v>617.99966004</v>
      </c>
      <c r="R43" s="342"/>
      <c r="S43" s="342"/>
      <c r="T43" s="29"/>
      <c r="U43" s="348">
        <f>Q43*1.029</f>
        <v>635.92165018116</v>
      </c>
      <c r="V43" s="348"/>
      <c r="W43" s="348"/>
      <c r="X43" s="29"/>
      <c r="Y43" s="356">
        <f>U43*1.0296</f>
        <v>654.7449310265224</v>
      </c>
      <c r="Z43" s="356"/>
      <c r="AA43" s="356"/>
      <c r="AB43" s="29"/>
      <c r="AC43" s="371">
        <f>Y43*1.0287</f>
        <v>673.5361105469835</v>
      </c>
      <c r="AD43" s="371"/>
      <c r="AE43" s="436"/>
    </row>
    <row r="44" spans="1:31" s="2" customFormat="1" ht="13.5" customHeight="1">
      <c r="A44" s="164" t="s">
        <v>31</v>
      </c>
      <c r="C44" s="343">
        <f>VLOOKUP($R$3,Add_Garbage,4)</f>
        <v>318</v>
      </c>
      <c r="D44" s="343"/>
      <c r="E44" s="343"/>
      <c r="F44" s="40"/>
      <c r="G44" s="325">
        <f>C44*1.0291</f>
        <v>327.25379999999996</v>
      </c>
      <c r="H44" s="325"/>
      <c r="I44" s="325"/>
      <c r="J44" s="325"/>
      <c r="K44" s="40"/>
      <c r="L44" s="341">
        <f>G44*1.5</f>
        <v>490.88069999999993</v>
      </c>
      <c r="M44" s="341"/>
      <c r="N44" s="341"/>
      <c r="O44" s="341"/>
      <c r="P44" s="40"/>
      <c r="Q44" s="342">
        <f>L44*1.0213</f>
        <v>501.33645891</v>
      </c>
      <c r="R44" s="342"/>
      <c r="S44" s="342"/>
      <c r="T44" s="40"/>
      <c r="U44" s="348">
        <f>Q44*1.029</f>
        <v>515.8752162183899</v>
      </c>
      <c r="V44" s="348"/>
      <c r="W44" s="348"/>
      <c r="X44" s="40"/>
      <c r="Y44" s="356">
        <f>U44*1.0296</f>
        <v>531.1451226184544</v>
      </c>
      <c r="Z44" s="356"/>
      <c r="AA44" s="356"/>
      <c r="AB44" s="29"/>
      <c r="AC44" s="371">
        <f>Y44*1.0287</f>
        <v>546.388987637604</v>
      </c>
      <c r="AD44" s="371"/>
      <c r="AE44" s="436"/>
    </row>
    <row r="45" spans="1:31" s="2" customFormat="1" ht="13.5" customHeight="1">
      <c r="A45" s="164" t="s">
        <v>32</v>
      </c>
      <c r="C45" s="343">
        <f>VLOOKUP($U$3,Add_Recycle,4)</f>
        <v>130</v>
      </c>
      <c r="D45" s="343"/>
      <c r="E45" s="343"/>
      <c r="F45" s="40"/>
      <c r="G45" s="325">
        <f>C45*1.0291</f>
        <v>133.783</v>
      </c>
      <c r="H45" s="325"/>
      <c r="I45" s="325"/>
      <c r="J45" s="325"/>
      <c r="K45" s="40"/>
      <c r="L45" s="341">
        <f>G45*1.5</f>
        <v>200.67449999999997</v>
      </c>
      <c r="M45" s="341"/>
      <c r="N45" s="341"/>
      <c r="O45" s="341"/>
      <c r="P45" s="40"/>
      <c r="Q45" s="342">
        <f>L45*1.0213</f>
        <v>204.94886684999997</v>
      </c>
      <c r="R45" s="342"/>
      <c r="S45" s="342"/>
      <c r="T45" s="40"/>
      <c r="U45" s="348">
        <f>Q45*1.029</f>
        <v>210.89238398864995</v>
      </c>
      <c r="V45" s="348"/>
      <c r="W45" s="348"/>
      <c r="X45" s="40"/>
      <c r="Y45" s="356">
        <f>U45*1.0296</f>
        <v>217.134798554714</v>
      </c>
      <c r="Z45" s="356"/>
      <c r="AA45" s="356"/>
      <c r="AB45" s="29"/>
      <c r="AC45" s="371">
        <f>Y45*1.0287</f>
        <v>223.36656727323427</v>
      </c>
      <c r="AD45" s="371"/>
      <c r="AE45" s="436"/>
    </row>
    <row r="46" spans="1:31" s="2" customFormat="1" ht="13.5" customHeight="1">
      <c r="A46" s="164" t="s">
        <v>36</v>
      </c>
      <c r="C46" s="324">
        <f>IF($C$3&lt;3,VLOOKUP($Y$3,Sewer,4),IF($C$3=10,VLOOKUP($Y$3,Sewer,4),IF($C$3=3,VLOOKUP($Y$3,Sewer,5),IF($C$3=4,VLOOKUP($Y$3,Sewer,5),IF($C$3=11,VLOOKUP($Y$3,Sewer,5),0)))))</f>
        <v>0</v>
      </c>
      <c r="D46" s="324"/>
      <c r="E46" s="324"/>
      <c r="F46" s="40"/>
      <c r="G46" s="325">
        <f>C46*1.0284</f>
        <v>0</v>
      </c>
      <c r="H46" s="325"/>
      <c r="I46" s="325"/>
      <c r="J46" s="325"/>
      <c r="K46" s="40"/>
      <c r="L46" s="395">
        <f>G46*1.0296</f>
        <v>0</v>
      </c>
      <c r="M46" s="395"/>
      <c r="N46" s="395"/>
      <c r="O46" s="395"/>
      <c r="P46" s="40"/>
      <c r="Q46" s="396">
        <f>L46*1.0287</f>
        <v>0</v>
      </c>
      <c r="R46" s="396"/>
      <c r="S46" s="396"/>
      <c r="T46" s="40"/>
      <c r="U46" s="397">
        <f>Q46*1.0298</f>
        <v>0</v>
      </c>
      <c r="V46" s="397"/>
      <c r="W46" s="397"/>
      <c r="X46" s="40"/>
      <c r="Y46" s="308">
        <f>U46*1.0289</f>
        <v>0</v>
      </c>
      <c r="Z46" s="308"/>
      <c r="AA46" s="308"/>
      <c r="AB46" s="29"/>
      <c r="AC46" s="371">
        <f>Y46*1.0299</f>
        <v>0</v>
      </c>
      <c r="AD46" s="371"/>
      <c r="AE46" s="436"/>
    </row>
    <row r="47" spans="1:31" s="2" customFormat="1" ht="13.5" customHeight="1">
      <c r="A47" s="164" t="s">
        <v>37</v>
      </c>
      <c r="C47" s="324">
        <f>-IF($C$3&lt;5,VLOOKUP($AD$3,Pensioner,4),IF($C$3&gt;8,0,VLOOKUP($AD$3,Pensioner,5)))</f>
        <v>-87.5</v>
      </c>
      <c r="D47" s="324"/>
      <c r="E47" s="324"/>
      <c r="F47" s="40"/>
      <c r="G47" s="325">
        <f>C47*1.15</f>
        <v>-100.62499999999999</v>
      </c>
      <c r="H47" s="325"/>
      <c r="I47" s="325"/>
      <c r="J47" s="325"/>
      <c r="K47" s="40"/>
      <c r="L47" s="395">
        <f>G47*1.15</f>
        <v>-115.71874999999997</v>
      </c>
      <c r="M47" s="395"/>
      <c r="N47" s="395"/>
      <c r="O47" s="395"/>
      <c r="P47" s="40"/>
      <c r="Q47" s="396">
        <f>L47*1.15</f>
        <v>-133.07656249999997</v>
      </c>
      <c r="R47" s="396"/>
      <c r="S47" s="396"/>
      <c r="T47" s="40"/>
      <c r="U47" s="397">
        <f>Q47*1.15</f>
        <v>-153.03804687499994</v>
      </c>
      <c r="V47" s="397"/>
      <c r="W47" s="397"/>
      <c r="X47" s="40"/>
      <c r="Y47" s="308">
        <f>U47*1.033</f>
        <v>-158.08830242187491</v>
      </c>
      <c r="Z47" s="308"/>
      <c r="AA47" s="308"/>
      <c r="AB47" s="29"/>
      <c r="AC47" s="444">
        <f>Y47*1.033</f>
        <v>-163.30521640179677</v>
      </c>
      <c r="AD47" s="444"/>
      <c r="AE47" s="445"/>
    </row>
    <row r="48" spans="1:31" s="14" customFormat="1" ht="48" customHeight="1">
      <c r="A48" s="53" t="s">
        <v>59</v>
      </c>
      <c r="B48" s="55"/>
      <c r="C48" s="323">
        <f>SUM(C39:E42)</f>
        <v>8992.8</v>
      </c>
      <c r="D48" s="323"/>
      <c r="E48" s="323"/>
      <c r="F48" s="54"/>
      <c r="G48" s="316">
        <f>SUM(G39:J42)</f>
        <v>10341.72</v>
      </c>
      <c r="H48" s="316"/>
      <c r="I48" s="316"/>
      <c r="J48" s="316"/>
      <c r="K48" s="54"/>
      <c r="L48" s="398">
        <f>SUM(L39:O42)</f>
        <v>11892.978</v>
      </c>
      <c r="M48" s="398"/>
      <c r="N48" s="398"/>
      <c r="O48" s="398"/>
      <c r="P48" s="54"/>
      <c r="Q48" s="399">
        <f>SUM(Q39:S42)</f>
        <v>13676.924699999996</v>
      </c>
      <c r="R48" s="399"/>
      <c r="S48" s="399"/>
      <c r="T48" s="54"/>
      <c r="U48" s="400">
        <f>SUM(U39:W42)</f>
        <v>15728.463404999993</v>
      </c>
      <c r="V48" s="400"/>
      <c r="W48" s="400"/>
      <c r="X48" s="54"/>
      <c r="Y48" s="401">
        <f>SUM(Y39:AA42)</f>
        <v>16247.502697364993</v>
      </c>
      <c r="Z48" s="401"/>
      <c r="AA48" s="401"/>
      <c r="AB48" s="54"/>
      <c r="AC48" s="440">
        <f>SUM(AC39:AE42)</f>
        <v>16783.670286378037</v>
      </c>
      <c r="AD48" s="440"/>
      <c r="AE48" s="441"/>
    </row>
    <row r="49" spans="1:31" s="46" customFormat="1" ht="4.5" customHeight="1">
      <c r="A49" s="165"/>
      <c r="C49" s="109"/>
      <c r="D49" s="109"/>
      <c r="E49" s="109"/>
      <c r="F49" s="34"/>
      <c r="G49" s="110"/>
      <c r="H49" s="110"/>
      <c r="I49" s="110"/>
      <c r="J49" s="110"/>
      <c r="K49" s="34"/>
      <c r="L49" s="111"/>
      <c r="M49" s="111"/>
      <c r="N49" s="111"/>
      <c r="O49" s="111"/>
      <c r="P49" s="34"/>
      <c r="Q49" s="112"/>
      <c r="R49" s="112"/>
      <c r="S49" s="112"/>
      <c r="T49" s="34"/>
      <c r="U49" s="113"/>
      <c r="V49" s="113"/>
      <c r="W49" s="113"/>
      <c r="X49" s="34"/>
      <c r="Y49" s="114"/>
      <c r="Z49" s="114"/>
      <c r="AA49" s="114"/>
      <c r="AB49" s="34"/>
      <c r="AC49" s="130"/>
      <c r="AD49" s="130"/>
      <c r="AE49" s="166"/>
    </row>
    <row r="50" spans="1:31" s="72" customFormat="1" ht="15.75" customHeight="1">
      <c r="A50" s="167" t="s">
        <v>51</v>
      </c>
      <c r="B50" s="79"/>
      <c r="C50" s="410">
        <f>C48-C16</f>
        <v>0</v>
      </c>
      <c r="D50" s="410"/>
      <c r="E50" s="410"/>
      <c r="F50" s="54"/>
      <c r="G50" s="411">
        <f>G48-G16</f>
        <v>1052.1576000000005</v>
      </c>
      <c r="H50" s="411"/>
      <c r="I50" s="411"/>
      <c r="J50" s="411"/>
      <c r="K50" s="54"/>
      <c r="L50" s="412">
        <f>L48-L16</f>
        <v>2296.8600408</v>
      </c>
      <c r="M50" s="412"/>
      <c r="N50" s="412"/>
      <c r="O50" s="412"/>
      <c r="P50" s="54"/>
      <c r="Q50" s="413">
        <f>Q48-Q16</f>
        <v>3764.1348481463974</v>
      </c>
      <c r="R50" s="413"/>
      <c r="S50" s="413"/>
      <c r="T50" s="54"/>
      <c r="U50" s="414">
        <f>U48-U16</f>
        <v>5488.5514880352275</v>
      </c>
      <c r="V50" s="414"/>
      <c r="W50" s="414"/>
      <c r="X50" s="54"/>
      <c r="Y50" s="419">
        <f>Y48-Y16</f>
        <v>5747.14868714039</v>
      </c>
      <c r="Z50" s="419"/>
      <c r="AA50" s="419"/>
      <c r="AB50" s="54"/>
      <c r="AC50" s="442">
        <f>AC48-AC16</f>
        <v>5936.804593816023</v>
      </c>
      <c r="AD50" s="442"/>
      <c r="AE50" s="443"/>
    </row>
    <row r="51" spans="1:31" s="47" customFormat="1" ht="4.5" customHeight="1">
      <c r="A51" s="168"/>
      <c r="C51" s="86"/>
      <c r="D51" s="86"/>
      <c r="E51" s="86"/>
      <c r="F51" s="87"/>
      <c r="G51" s="119"/>
      <c r="H51" s="119"/>
      <c r="I51" s="119"/>
      <c r="J51" s="119"/>
      <c r="K51" s="87"/>
      <c r="L51" s="120"/>
      <c r="M51" s="120"/>
      <c r="N51" s="120"/>
      <c r="O51" s="120"/>
      <c r="P51" s="87"/>
      <c r="Q51" s="121"/>
      <c r="R51" s="121"/>
      <c r="S51" s="121"/>
      <c r="T51" s="87"/>
      <c r="U51" s="122"/>
      <c r="V51" s="122"/>
      <c r="W51" s="122"/>
      <c r="X51" s="87"/>
      <c r="Y51" s="117"/>
      <c r="Z51" s="117"/>
      <c r="AA51" s="117"/>
      <c r="AB51" s="87"/>
      <c r="AC51" s="88"/>
      <c r="AD51" s="88"/>
      <c r="AE51" s="169"/>
    </row>
    <row r="52" spans="1:31" s="72" customFormat="1" ht="15.75" customHeight="1">
      <c r="A52" s="167" t="s">
        <v>49</v>
      </c>
      <c r="B52" s="79"/>
      <c r="C52" s="410">
        <v>0</v>
      </c>
      <c r="D52" s="410"/>
      <c r="E52" s="410"/>
      <c r="F52" s="54"/>
      <c r="G52" s="411">
        <f>G50</f>
        <v>1052.1576000000005</v>
      </c>
      <c r="H52" s="411"/>
      <c r="I52" s="411"/>
      <c r="J52" s="411"/>
      <c r="K52" s="54"/>
      <c r="L52" s="412">
        <f>L50+G52</f>
        <v>3349.0176408000007</v>
      </c>
      <c r="M52" s="412"/>
      <c r="N52" s="412"/>
      <c r="O52" s="412"/>
      <c r="P52" s="54"/>
      <c r="Q52" s="413">
        <f>Q50+L52</f>
        <v>7113.152488946398</v>
      </c>
      <c r="R52" s="413"/>
      <c r="S52" s="413"/>
      <c r="T52" s="54"/>
      <c r="U52" s="414">
        <f>U50+Q52</f>
        <v>12601.703976981626</v>
      </c>
      <c r="V52" s="414"/>
      <c r="W52" s="414"/>
      <c r="X52" s="54"/>
      <c r="Y52" s="419">
        <f>Y50+U52</f>
        <v>18348.852664122016</v>
      </c>
      <c r="Z52" s="419"/>
      <c r="AA52" s="419"/>
      <c r="AB52" s="54"/>
      <c r="AC52" s="438">
        <f>AC50+Y52</f>
        <v>24285.657257938037</v>
      </c>
      <c r="AD52" s="438"/>
      <c r="AE52" s="439"/>
    </row>
    <row r="53" spans="1:31" s="47" customFormat="1" ht="6" customHeight="1">
      <c r="A53" s="168"/>
      <c r="C53" s="118"/>
      <c r="D53" s="118"/>
      <c r="E53" s="118"/>
      <c r="F53" s="87"/>
      <c r="G53" s="119"/>
      <c r="H53" s="119"/>
      <c r="I53" s="119"/>
      <c r="J53" s="119"/>
      <c r="K53" s="87"/>
      <c r="L53" s="120"/>
      <c r="M53" s="120"/>
      <c r="N53" s="120"/>
      <c r="O53" s="120"/>
      <c r="P53" s="87"/>
      <c r="Q53" s="121"/>
      <c r="R53" s="121"/>
      <c r="S53" s="121"/>
      <c r="T53" s="87"/>
      <c r="U53" s="122"/>
      <c r="V53" s="122"/>
      <c r="W53" s="122"/>
      <c r="X53" s="87"/>
      <c r="Y53" s="117"/>
      <c r="Z53" s="117"/>
      <c r="AA53" s="117"/>
      <c r="AB53" s="87"/>
      <c r="AC53" s="88"/>
      <c r="AD53" s="88"/>
      <c r="AE53" s="169"/>
    </row>
    <row r="54" spans="1:31" ht="17.25" customHeight="1">
      <c r="A54" s="170" t="s">
        <v>46</v>
      </c>
      <c r="B54" s="81"/>
      <c r="C54" s="284">
        <f>SUM(C39:E47)</f>
        <v>9745.3</v>
      </c>
      <c r="D54" s="285"/>
      <c r="E54" s="285"/>
      <c r="F54" s="89"/>
      <c r="G54" s="287">
        <f>SUM(G39:G47)</f>
        <v>11105.538999999999</v>
      </c>
      <c r="H54" s="287"/>
      <c r="I54" s="287"/>
      <c r="J54" s="287"/>
      <c r="K54" s="89"/>
      <c r="L54" s="288">
        <f>SUM(L39:O47)</f>
        <v>13073.925249999998</v>
      </c>
      <c r="M54" s="288"/>
      <c r="N54" s="288"/>
      <c r="O54" s="288"/>
      <c r="P54" s="90"/>
      <c r="Q54" s="289">
        <f>SUM(Q39:S47)</f>
        <v>14868.133123299996</v>
      </c>
      <c r="R54" s="290"/>
      <c r="S54" s="290"/>
      <c r="T54" s="90"/>
      <c r="U54" s="291">
        <f>SUM(U39:W47)</f>
        <v>16938.11460851319</v>
      </c>
      <c r="V54" s="292"/>
      <c r="W54" s="292"/>
      <c r="X54" s="4"/>
      <c r="Y54" s="293">
        <f>SUM(Y39:AA47)</f>
        <v>17492.43924714281</v>
      </c>
      <c r="Z54" s="294"/>
      <c r="AA54" s="294"/>
      <c r="AB54" s="4"/>
      <c r="AC54" s="295">
        <f>SUM(AC39:AE47)</f>
        <v>18063.656735434062</v>
      </c>
      <c r="AD54" s="296"/>
      <c r="AE54" s="297"/>
    </row>
    <row r="55" spans="1:31" ht="4.5" customHeight="1">
      <c r="A55" s="171"/>
      <c r="C55" s="91"/>
      <c r="D55" s="92"/>
      <c r="E55" s="92"/>
      <c r="F55" s="93"/>
      <c r="G55" s="94"/>
      <c r="H55" s="94"/>
      <c r="I55" s="94"/>
      <c r="J55" s="94"/>
      <c r="K55" s="93"/>
      <c r="L55" s="95"/>
      <c r="M55" s="95"/>
      <c r="N55" s="95"/>
      <c r="O55" s="95"/>
      <c r="P55" s="4"/>
      <c r="Q55" s="96"/>
      <c r="R55" s="96"/>
      <c r="S55" s="96"/>
      <c r="T55" s="4"/>
      <c r="U55" s="97"/>
      <c r="V55" s="97"/>
      <c r="W55" s="97"/>
      <c r="X55" s="4"/>
      <c r="Y55" s="98"/>
      <c r="Z55" s="98"/>
      <c r="AA55" s="98"/>
      <c r="AB55" s="4"/>
      <c r="AC55" s="99"/>
      <c r="AD55" s="99"/>
      <c r="AE55" s="172"/>
    </row>
    <row r="56" spans="1:31" s="80" customFormat="1" ht="16.5" customHeight="1">
      <c r="A56" s="173" t="s">
        <v>52</v>
      </c>
      <c r="B56" s="82"/>
      <c r="C56" s="286">
        <f>(C54-C18)/C54</f>
        <v>0</v>
      </c>
      <c r="D56" s="286"/>
      <c r="E56" s="286"/>
      <c r="F56" s="100"/>
      <c r="G56" s="298">
        <f>(G54-G18)/G54</f>
        <v>0.09381985872095008</v>
      </c>
      <c r="H56" s="298"/>
      <c r="I56" s="298"/>
      <c r="J56" s="298"/>
      <c r="K56" s="100"/>
      <c r="L56" s="299">
        <f>(L54-L18)/L54</f>
        <v>0.17397312091102865</v>
      </c>
      <c r="M56" s="299"/>
      <c r="N56" s="299"/>
      <c r="O56" s="299"/>
      <c r="P56" s="101"/>
      <c r="Q56" s="300">
        <f>(Q54-Q18)/Q54</f>
        <v>0.25070462859876336</v>
      </c>
      <c r="R56" s="300"/>
      <c r="S56" s="300"/>
      <c r="T56" s="101"/>
      <c r="U56" s="301">
        <f>(U54-U18)/U54</f>
        <v>0.3208826940600919</v>
      </c>
      <c r="V56" s="301"/>
      <c r="W56" s="301"/>
      <c r="X56" s="102"/>
      <c r="Y56" s="302">
        <f>(Y54-Y18)/Y54</f>
        <v>0.3253967412113792</v>
      </c>
      <c r="Z56" s="302"/>
      <c r="AA56" s="302"/>
      <c r="AB56" s="102"/>
      <c r="AC56" s="303">
        <f>(AC54-AC18)/AC54</f>
        <v>0.32550541913867553</v>
      </c>
      <c r="AD56" s="303"/>
      <c r="AE56" s="304"/>
    </row>
    <row r="57" spans="1:31" ht="6" customHeight="1">
      <c r="A57" s="174"/>
      <c r="B57" s="175"/>
      <c r="C57" s="176"/>
      <c r="D57" s="177"/>
      <c r="E57" s="177"/>
      <c r="F57" s="178"/>
      <c r="G57" s="179"/>
      <c r="H57" s="179"/>
      <c r="I57" s="179"/>
      <c r="J57" s="179"/>
      <c r="K57" s="178"/>
      <c r="L57" s="180"/>
      <c r="M57" s="180"/>
      <c r="N57" s="180"/>
      <c r="O57" s="180"/>
      <c r="P57" s="175"/>
      <c r="Q57" s="181"/>
      <c r="R57" s="181"/>
      <c r="S57" s="181"/>
      <c r="T57" s="175"/>
      <c r="U57" s="182"/>
      <c r="V57" s="182"/>
      <c r="W57" s="182"/>
      <c r="X57" s="175"/>
      <c r="Y57" s="183"/>
      <c r="Z57" s="183"/>
      <c r="AA57" s="183"/>
      <c r="AB57" s="175"/>
      <c r="AC57" s="184"/>
      <c r="AD57" s="184"/>
      <c r="AE57" s="185"/>
    </row>
    <row r="61" spans="15:31" ht="20.25" customHeight="1">
      <c r="O61" s="2"/>
      <c r="V61" s="2"/>
      <c r="Z61" s="2"/>
      <c r="AA61" s="2"/>
      <c r="AC61" s="2"/>
      <c r="AD61" s="2"/>
      <c r="AE61" s="2"/>
    </row>
    <row r="62" spans="22:31" ht="20.25" customHeight="1">
      <c r="V62" s="2"/>
      <c r="Z62" s="2"/>
      <c r="AA62" s="2"/>
      <c r="AC62" s="2"/>
      <c r="AD62" s="2"/>
      <c r="AE62" s="2"/>
    </row>
    <row r="63" spans="22:31" ht="20.25" customHeight="1">
      <c r="V63" s="2"/>
      <c r="Z63" s="2"/>
      <c r="AA63" s="2"/>
      <c r="AC63" s="2"/>
      <c r="AD63" s="2"/>
      <c r="AE63" s="2"/>
    </row>
    <row r="64" spans="22:31" ht="20.25" customHeight="1">
      <c r="V64" s="2"/>
      <c r="Z64" s="2"/>
      <c r="AA64" s="2"/>
      <c r="AC64" s="2"/>
      <c r="AD64" s="2"/>
      <c r="AE64" s="2"/>
    </row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sheetProtection selectLockedCells="1"/>
  <mergeCells count="287">
    <mergeCell ref="C50:E50"/>
    <mergeCell ref="G50:J50"/>
    <mergeCell ref="L50:O50"/>
    <mergeCell ref="Q50:S50"/>
    <mergeCell ref="U50:W50"/>
    <mergeCell ref="C52:E52"/>
    <mergeCell ref="G52:J52"/>
    <mergeCell ref="L52:O52"/>
    <mergeCell ref="Q52:S52"/>
    <mergeCell ref="U52:W52"/>
    <mergeCell ref="Y52:AA52"/>
    <mergeCell ref="AC52:AE52"/>
    <mergeCell ref="Y46:AA46"/>
    <mergeCell ref="AC46:AE46"/>
    <mergeCell ref="C47:E47"/>
    <mergeCell ref="G47:J47"/>
    <mergeCell ref="L47:O47"/>
    <mergeCell ref="Q47:S47"/>
    <mergeCell ref="U47:W47"/>
    <mergeCell ref="Y47:AA47"/>
    <mergeCell ref="Q48:S48"/>
    <mergeCell ref="U48:W48"/>
    <mergeCell ref="Y48:AA48"/>
    <mergeCell ref="AC48:AE48"/>
    <mergeCell ref="C48:E48"/>
    <mergeCell ref="Y50:AA50"/>
    <mergeCell ref="AC50:AE50"/>
    <mergeCell ref="G48:J48"/>
    <mergeCell ref="L48:O48"/>
    <mergeCell ref="AC47:AE47"/>
    <mergeCell ref="C46:E46"/>
    <mergeCell ref="G46:J46"/>
    <mergeCell ref="L46:O46"/>
    <mergeCell ref="Q46:S46"/>
    <mergeCell ref="U46:W46"/>
    <mergeCell ref="Y44:AA44"/>
    <mergeCell ref="AC44:AE44"/>
    <mergeCell ref="C45:E45"/>
    <mergeCell ref="G45:J45"/>
    <mergeCell ref="L45:O45"/>
    <mergeCell ref="Q45:S45"/>
    <mergeCell ref="U45:W45"/>
    <mergeCell ref="Y45:AA45"/>
    <mergeCell ref="AC45:AE45"/>
    <mergeCell ref="U44:W44"/>
    <mergeCell ref="C44:E44"/>
    <mergeCell ref="G44:J44"/>
    <mergeCell ref="L44:O44"/>
    <mergeCell ref="Q44:S44"/>
    <mergeCell ref="Y42:AA42"/>
    <mergeCell ref="L42:O42"/>
    <mergeCell ref="Q42:S42"/>
    <mergeCell ref="U42:W42"/>
    <mergeCell ref="Y40:AA40"/>
    <mergeCell ref="AC42:AE42"/>
    <mergeCell ref="C43:E43"/>
    <mergeCell ref="G43:J43"/>
    <mergeCell ref="L43:O43"/>
    <mergeCell ref="Q43:S43"/>
    <mergeCell ref="U43:W43"/>
    <mergeCell ref="Y43:AA43"/>
    <mergeCell ref="AC43:AE43"/>
    <mergeCell ref="C42:E42"/>
    <mergeCell ref="G42:J42"/>
    <mergeCell ref="AC40:AE40"/>
    <mergeCell ref="C41:E41"/>
    <mergeCell ref="G41:J41"/>
    <mergeCell ref="L41:O41"/>
    <mergeCell ref="Q41:S41"/>
    <mergeCell ref="U41:W41"/>
    <mergeCell ref="Y41:AA41"/>
    <mergeCell ref="AC41:AE41"/>
    <mergeCell ref="C40:E40"/>
    <mergeCell ref="G40:J40"/>
    <mergeCell ref="L40:O40"/>
    <mergeCell ref="Q40:S40"/>
    <mergeCell ref="Y37:AA37"/>
    <mergeCell ref="AC33:AE33"/>
    <mergeCell ref="AC39:AE39"/>
    <mergeCell ref="Y35:AA35"/>
    <mergeCell ref="AC35:AE35"/>
    <mergeCell ref="AC37:AE37"/>
    <mergeCell ref="U40:W40"/>
    <mergeCell ref="L35:O35"/>
    <mergeCell ref="Q35:S35"/>
    <mergeCell ref="U35:W35"/>
    <mergeCell ref="Y33:AA33"/>
    <mergeCell ref="U39:W39"/>
    <mergeCell ref="Y39:AA39"/>
    <mergeCell ref="C39:E39"/>
    <mergeCell ref="G39:J39"/>
    <mergeCell ref="L39:O39"/>
    <mergeCell ref="Q39:S39"/>
    <mergeCell ref="C35:E35"/>
    <mergeCell ref="G35:J35"/>
    <mergeCell ref="Y31:AA31"/>
    <mergeCell ref="AC31:AE31"/>
    <mergeCell ref="C29:E29"/>
    <mergeCell ref="G29:J29"/>
    <mergeCell ref="Y29:AA29"/>
    <mergeCell ref="L29:O29"/>
    <mergeCell ref="Q29:S29"/>
    <mergeCell ref="U29:W29"/>
    <mergeCell ref="C37:E37"/>
    <mergeCell ref="G37:J37"/>
    <mergeCell ref="L37:O37"/>
    <mergeCell ref="Q37:S37"/>
    <mergeCell ref="U37:W37"/>
    <mergeCell ref="C33:E33"/>
    <mergeCell ref="G33:J33"/>
    <mergeCell ref="L33:O33"/>
    <mergeCell ref="Q33:S33"/>
    <mergeCell ref="U33:W33"/>
    <mergeCell ref="L28:O28"/>
    <mergeCell ref="Q28:S28"/>
    <mergeCell ref="U28:W28"/>
    <mergeCell ref="AC29:AE29"/>
    <mergeCell ref="C31:E31"/>
    <mergeCell ref="G31:J31"/>
    <mergeCell ref="L31:O31"/>
    <mergeCell ref="Q31:S31"/>
    <mergeCell ref="U31:W31"/>
    <mergeCell ref="Y23:AA23"/>
    <mergeCell ref="AC23:AE23"/>
    <mergeCell ref="C28:E28"/>
    <mergeCell ref="C27:E27"/>
    <mergeCell ref="G27:J27"/>
    <mergeCell ref="L27:O27"/>
    <mergeCell ref="Q27:S27"/>
    <mergeCell ref="U27:W27"/>
    <mergeCell ref="Y27:AA27"/>
    <mergeCell ref="G28:J28"/>
    <mergeCell ref="AC24:AE24"/>
    <mergeCell ref="AC26:AE26"/>
    <mergeCell ref="AC27:AE27"/>
    <mergeCell ref="Y28:AA28"/>
    <mergeCell ref="AC28:AE28"/>
    <mergeCell ref="C23:E23"/>
    <mergeCell ref="G23:J23"/>
    <mergeCell ref="L23:O23"/>
    <mergeCell ref="Q23:S23"/>
    <mergeCell ref="U23:W23"/>
    <mergeCell ref="AC25:AE25"/>
    <mergeCell ref="C24:E24"/>
    <mergeCell ref="G24:J24"/>
    <mergeCell ref="Q26:S26"/>
    <mergeCell ref="U26:W26"/>
    <mergeCell ref="Y24:AA24"/>
    <mergeCell ref="L24:O24"/>
    <mergeCell ref="Q24:S24"/>
    <mergeCell ref="U24:W24"/>
    <mergeCell ref="Y26:AA26"/>
    <mergeCell ref="C25:E25"/>
    <mergeCell ref="G25:J25"/>
    <mergeCell ref="L25:O25"/>
    <mergeCell ref="Q25:S25"/>
    <mergeCell ref="U25:W25"/>
    <mergeCell ref="Y25:AA25"/>
    <mergeCell ref="C26:E26"/>
    <mergeCell ref="G26:J26"/>
    <mergeCell ref="L26:O26"/>
    <mergeCell ref="C22:E22"/>
    <mergeCell ref="G22:J22"/>
    <mergeCell ref="L22:O22"/>
    <mergeCell ref="Q22:S22"/>
    <mergeCell ref="U22:W22"/>
    <mergeCell ref="Y22:AA22"/>
    <mergeCell ref="AC22:AE22"/>
    <mergeCell ref="C21:E21"/>
    <mergeCell ref="G21:J21"/>
    <mergeCell ref="Q21:S21"/>
    <mergeCell ref="U21:W21"/>
    <mergeCell ref="Y21:AA21"/>
    <mergeCell ref="AC21:AE21"/>
    <mergeCell ref="L21:O21"/>
    <mergeCell ref="AC13:AE13"/>
    <mergeCell ref="AC14:AE14"/>
    <mergeCell ref="L13:O13"/>
    <mergeCell ref="Q13:S13"/>
    <mergeCell ref="U13:W13"/>
    <mergeCell ref="L16:O16"/>
    <mergeCell ref="Q16:S16"/>
    <mergeCell ref="U16:W16"/>
    <mergeCell ref="Y16:AA16"/>
    <mergeCell ref="AC16:AE16"/>
    <mergeCell ref="Y13:AA13"/>
    <mergeCell ref="L14:O14"/>
    <mergeCell ref="Q14:S14"/>
    <mergeCell ref="U14:W14"/>
    <mergeCell ref="Y2:AA2"/>
    <mergeCell ref="AC2:AE2"/>
    <mergeCell ref="U3:W3"/>
    <mergeCell ref="Y3:AA3"/>
    <mergeCell ref="O3:S3"/>
    <mergeCell ref="A1:AE1"/>
    <mergeCell ref="C2:G2"/>
    <mergeCell ref="C8:E8"/>
    <mergeCell ref="Y8:AA8"/>
    <mergeCell ref="O2:S2"/>
    <mergeCell ref="AC5:AE5"/>
    <mergeCell ref="AC6:AE6"/>
    <mergeCell ref="I2:M2"/>
    <mergeCell ref="U2:W2"/>
    <mergeCell ref="A5:A6"/>
    <mergeCell ref="C5:E5"/>
    <mergeCell ref="Q5:S5"/>
    <mergeCell ref="Q12:S12"/>
    <mergeCell ref="U12:W12"/>
    <mergeCell ref="I3:M3"/>
    <mergeCell ref="Y5:AA5"/>
    <mergeCell ref="L5:O5"/>
    <mergeCell ref="U8:W8"/>
    <mergeCell ref="AC3:AE3"/>
    <mergeCell ref="Y10:AA10"/>
    <mergeCell ref="U6:W6"/>
    <mergeCell ref="Y6:AA6"/>
    <mergeCell ref="L6:O6"/>
    <mergeCell ref="L8:O8"/>
    <mergeCell ref="Q8:S8"/>
    <mergeCell ref="Q6:S6"/>
    <mergeCell ref="L10:O10"/>
    <mergeCell ref="Y12:AA12"/>
    <mergeCell ref="AC12:AE12"/>
    <mergeCell ref="AC9:AE9"/>
    <mergeCell ref="U9:W9"/>
    <mergeCell ref="Y9:AA9"/>
    <mergeCell ref="Y11:AA11"/>
    <mergeCell ref="AC10:AE10"/>
    <mergeCell ref="AC11:AE11"/>
    <mergeCell ref="G12:J12"/>
    <mergeCell ref="G13:J13"/>
    <mergeCell ref="C10:E10"/>
    <mergeCell ref="G8:J8"/>
    <mergeCell ref="C3:G3"/>
    <mergeCell ref="AC8:AE8"/>
    <mergeCell ref="C6:E6"/>
    <mergeCell ref="G6:J6"/>
    <mergeCell ref="G5:J5"/>
    <mergeCell ref="U5:W5"/>
    <mergeCell ref="G11:J11"/>
    <mergeCell ref="L11:O11"/>
    <mergeCell ref="Q11:S11"/>
    <mergeCell ref="C11:E11"/>
    <mergeCell ref="C13:E13"/>
    <mergeCell ref="C9:E9"/>
    <mergeCell ref="G9:J9"/>
    <mergeCell ref="L9:O9"/>
    <mergeCell ref="Q9:S9"/>
    <mergeCell ref="G10:J10"/>
    <mergeCell ref="C12:E12"/>
    <mergeCell ref="Q10:S10"/>
    <mergeCell ref="U10:W10"/>
    <mergeCell ref="U11:W11"/>
    <mergeCell ref="L12:O12"/>
    <mergeCell ref="Y20:AA20"/>
    <mergeCell ref="AC18:AE18"/>
    <mergeCell ref="Y14:AA14"/>
    <mergeCell ref="C20:E20"/>
    <mergeCell ref="G20:J20"/>
    <mergeCell ref="L20:O20"/>
    <mergeCell ref="Q20:S20"/>
    <mergeCell ref="U20:W20"/>
    <mergeCell ref="AC20:AE20"/>
    <mergeCell ref="G16:J16"/>
    <mergeCell ref="C18:E18"/>
    <mergeCell ref="G18:J18"/>
    <mergeCell ref="L18:O18"/>
    <mergeCell ref="Q18:S18"/>
    <mergeCell ref="U18:W18"/>
    <mergeCell ref="Y18:AA18"/>
    <mergeCell ref="C16:E16"/>
    <mergeCell ref="C14:E14"/>
    <mergeCell ref="G14:J14"/>
    <mergeCell ref="C54:E54"/>
    <mergeCell ref="C56:E56"/>
    <mergeCell ref="G54:J54"/>
    <mergeCell ref="L54:O54"/>
    <mergeCell ref="Q54:S54"/>
    <mergeCell ref="U54:W54"/>
    <mergeCell ref="Y54:AA54"/>
    <mergeCell ref="AC54:AE54"/>
    <mergeCell ref="G56:J56"/>
    <mergeCell ref="L56:O56"/>
    <mergeCell ref="Q56:S56"/>
    <mergeCell ref="U56:W56"/>
    <mergeCell ref="Y56:AA56"/>
    <mergeCell ref="AC56:AE56"/>
  </mergeCells>
  <printOptions horizontalCentered="1"/>
  <pageMargins left="0.37" right="0.33" top="0.45" bottom="0.42" header="0.36" footer="0.37"/>
  <pageSetup fitToHeight="1" fitToWidth="1" horizontalDpi="600" verticalDpi="600" orientation="landscape" paperSize="9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7"/>
  <sheetViews>
    <sheetView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K17" sqref="K17"/>
    </sheetView>
  </sheetViews>
  <sheetFormatPr defaultColWidth="9.140625" defaultRowHeight="12.75"/>
  <cols>
    <col min="1" max="1" width="3.00390625" style="3" bestFit="1" customWidth="1"/>
    <col min="2" max="2" width="62.00390625" style="3" customWidth="1"/>
    <col min="3" max="3" width="0.9921875" style="3" customWidth="1"/>
    <col min="4" max="4" width="14.140625" style="3" customWidth="1"/>
    <col min="5" max="5" width="16.421875" style="3" customWidth="1"/>
    <col min="6" max="7" width="0.9921875" style="3" customWidth="1"/>
    <col min="8" max="9" width="14.8515625" style="3" customWidth="1"/>
    <col min="10" max="10" width="0.9921875" style="3" customWidth="1"/>
    <col min="11" max="12" width="10.28125" style="3" customWidth="1"/>
    <col min="13" max="13" width="0.85546875" style="3" customWidth="1"/>
    <col min="14" max="15" width="10.28125" style="3" customWidth="1"/>
    <col min="16" max="16" width="0.85546875" style="3" customWidth="1"/>
    <col min="17" max="18" width="10.28125" style="3" customWidth="1"/>
    <col min="19" max="19" width="0.85546875" style="3" customWidth="1"/>
    <col min="20" max="21" width="10.28125" style="3" customWidth="1"/>
    <col min="22" max="16384" width="9.140625" style="3" customWidth="1"/>
  </cols>
  <sheetData>
    <row r="1" spans="1:21" s="12" customFormat="1" ht="39.75" customHeight="1">
      <c r="A1" s="446" t="s">
        <v>45</v>
      </c>
      <c r="B1" s="446"/>
      <c r="C1" s="13"/>
      <c r="D1" s="449" t="s">
        <v>92</v>
      </c>
      <c r="E1" s="450"/>
      <c r="F1" s="13"/>
      <c r="G1" s="13"/>
      <c r="H1" s="447"/>
      <c r="I1" s="448"/>
      <c r="K1" s="447"/>
      <c r="L1" s="448"/>
      <c r="N1" s="447"/>
      <c r="O1" s="448"/>
      <c r="Q1" s="447"/>
      <c r="R1" s="448"/>
      <c r="T1" s="447"/>
      <c r="U1" s="448"/>
    </row>
    <row r="2" spans="4:9" s="16" customFormat="1" ht="28.5" customHeight="1">
      <c r="D2" s="17" t="s">
        <v>53</v>
      </c>
      <c r="E2" s="18" t="s">
        <v>54</v>
      </c>
      <c r="H2" s="17"/>
      <c r="I2" s="18"/>
    </row>
    <row r="3" spans="2:9" ht="12.75">
      <c r="B3" s="6" t="s">
        <v>0</v>
      </c>
      <c r="C3" s="6"/>
      <c r="D3" s="6"/>
      <c r="E3" s="6"/>
      <c r="F3" s="6"/>
      <c r="G3" s="6"/>
      <c r="H3" s="6"/>
      <c r="I3" s="6"/>
    </row>
    <row r="4" spans="1:21" ht="12.75">
      <c r="A4" s="3">
        <v>1</v>
      </c>
      <c r="B4" s="186" t="s">
        <v>63</v>
      </c>
      <c r="C4" s="7"/>
      <c r="D4" s="8">
        <v>355</v>
      </c>
      <c r="E4" s="202">
        <v>0.192328</v>
      </c>
      <c r="F4" s="7"/>
      <c r="G4" s="7"/>
      <c r="H4" s="202"/>
      <c r="I4" s="9"/>
      <c r="K4" s="8"/>
      <c r="L4" s="9"/>
      <c r="M4" s="7"/>
      <c r="N4" s="8"/>
      <c r="O4" s="9"/>
      <c r="P4" s="7"/>
      <c r="Q4" s="8"/>
      <c r="R4" s="9"/>
      <c r="T4" s="8"/>
      <c r="U4" s="9"/>
    </row>
    <row r="5" spans="1:21" ht="12.75">
      <c r="A5" s="3">
        <v>2</v>
      </c>
      <c r="B5" s="186" t="s">
        <v>74</v>
      </c>
      <c r="C5" s="7"/>
      <c r="D5" s="8">
        <v>355</v>
      </c>
      <c r="E5" s="202">
        <v>0.430972</v>
      </c>
      <c r="F5" s="7"/>
      <c r="G5" s="7"/>
      <c r="H5" s="8"/>
      <c r="I5" s="9"/>
      <c r="K5" s="8"/>
      <c r="L5" s="9"/>
      <c r="M5" s="7"/>
      <c r="N5" s="8"/>
      <c r="O5" s="9"/>
      <c r="P5" s="7"/>
      <c r="Q5" s="8"/>
      <c r="R5" s="9"/>
      <c r="T5" s="8"/>
      <c r="U5" s="9"/>
    </row>
    <row r="6" spans="1:21" ht="12.75">
      <c r="A6" s="3">
        <v>3</v>
      </c>
      <c r="B6" s="186" t="s">
        <v>60</v>
      </c>
      <c r="C6" s="7"/>
      <c r="D6" s="8">
        <v>355</v>
      </c>
      <c r="E6" s="202">
        <v>0.17595</v>
      </c>
      <c r="F6" s="7"/>
      <c r="G6" s="7"/>
      <c r="H6" s="8"/>
      <c r="I6" s="9"/>
      <c r="K6" s="8"/>
      <c r="L6" s="9"/>
      <c r="M6" s="7"/>
      <c r="N6" s="8"/>
      <c r="O6" s="9"/>
      <c r="P6" s="7"/>
      <c r="Q6" s="8"/>
      <c r="R6" s="9"/>
      <c r="T6" s="8"/>
      <c r="U6" s="9"/>
    </row>
    <row r="7" spans="1:21" ht="12.75">
      <c r="A7" s="3">
        <v>4</v>
      </c>
      <c r="B7" s="186" t="s">
        <v>62</v>
      </c>
      <c r="C7" s="7"/>
      <c r="D7" s="8">
        <v>575</v>
      </c>
      <c r="E7" s="202">
        <v>0.225476</v>
      </c>
      <c r="F7" s="7"/>
      <c r="G7" s="7"/>
      <c r="H7" s="8"/>
      <c r="I7" s="9"/>
      <c r="K7" s="8"/>
      <c r="L7" s="9"/>
      <c r="M7" s="7"/>
      <c r="N7" s="8"/>
      <c r="O7" s="9"/>
      <c r="P7" s="7"/>
      <c r="Q7" s="8"/>
      <c r="R7" s="9"/>
      <c r="T7" s="8"/>
      <c r="U7" s="9"/>
    </row>
    <row r="8" spans="1:21" ht="12.75">
      <c r="A8" s="3">
        <v>5</v>
      </c>
      <c r="B8" s="186" t="s">
        <v>61</v>
      </c>
      <c r="C8" s="7"/>
      <c r="D8" s="8">
        <v>455</v>
      </c>
      <c r="E8" s="202">
        <v>0.41686</v>
      </c>
      <c r="F8" s="7"/>
      <c r="G8" s="7"/>
      <c r="H8" s="8"/>
      <c r="I8" s="9"/>
      <c r="K8" s="8"/>
      <c r="L8" s="9"/>
      <c r="M8" s="7"/>
      <c r="N8" s="8"/>
      <c r="O8" s="9"/>
      <c r="P8" s="7"/>
      <c r="Q8" s="8"/>
      <c r="R8" s="9"/>
      <c r="T8" s="8"/>
      <c r="U8" s="9"/>
    </row>
    <row r="9" spans="1:21" ht="12.75">
      <c r="A9" s="3">
        <v>6</v>
      </c>
      <c r="B9" s="186" t="s">
        <v>80</v>
      </c>
      <c r="C9" s="7"/>
      <c r="D9" s="8">
        <v>455</v>
      </c>
      <c r="E9" s="202">
        <v>0.838138</v>
      </c>
      <c r="F9" s="7"/>
      <c r="G9" s="7"/>
      <c r="H9" s="202"/>
      <c r="I9" s="9"/>
      <c r="K9" s="8"/>
      <c r="L9" s="9"/>
      <c r="M9" s="7"/>
      <c r="N9" s="8"/>
      <c r="O9" s="9"/>
      <c r="P9" s="7"/>
      <c r="Q9" s="8"/>
      <c r="R9" s="9"/>
      <c r="T9" s="8"/>
      <c r="U9" s="9"/>
    </row>
    <row r="10" spans="1:21" ht="12.75">
      <c r="A10" s="3">
        <v>7</v>
      </c>
      <c r="B10" s="186" t="s">
        <v>81</v>
      </c>
      <c r="C10" s="7"/>
      <c r="D10" s="8">
        <v>455</v>
      </c>
      <c r="E10" s="202">
        <v>0.565993</v>
      </c>
      <c r="F10" s="7"/>
      <c r="G10" s="7"/>
      <c r="H10" s="8"/>
      <c r="I10" s="9"/>
      <c r="K10" s="8"/>
      <c r="L10" s="9"/>
      <c r="M10" s="7"/>
      <c r="N10" s="8"/>
      <c r="O10" s="9"/>
      <c r="P10" s="7"/>
      <c r="Q10" s="8"/>
      <c r="R10" s="9"/>
      <c r="T10" s="8"/>
      <c r="U10" s="9"/>
    </row>
    <row r="11" spans="1:21" ht="12.75">
      <c r="A11" s="3">
        <v>8</v>
      </c>
      <c r="B11" s="186" t="s">
        <v>66</v>
      </c>
      <c r="C11" s="7"/>
      <c r="D11" s="8">
        <v>1120</v>
      </c>
      <c r="E11" s="203">
        <v>3.9364</v>
      </c>
      <c r="F11" s="7"/>
      <c r="G11" s="7"/>
      <c r="H11" s="8"/>
      <c r="I11" s="9"/>
      <c r="K11" s="8"/>
      <c r="L11" s="9"/>
      <c r="M11" s="7"/>
      <c r="N11" s="8"/>
      <c r="O11" s="9"/>
      <c r="P11" s="7"/>
      <c r="Q11" s="8"/>
      <c r="R11" s="9"/>
      <c r="T11" s="8"/>
      <c r="U11" s="9"/>
    </row>
    <row r="12" spans="1:21" ht="12.75">
      <c r="A12" s="3">
        <v>9</v>
      </c>
      <c r="B12" s="186" t="s">
        <v>82</v>
      </c>
      <c r="C12" s="7"/>
      <c r="D12" s="8">
        <v>1120</v>
      </c>
      <c r="E12" s="203">
        <v>4.2025</v>
      </c>
      <c r="F12" s="7"/>
      <c r="G12" s="7"/>
      <c r="H12" s="8"/>
      <c r="I12" s="9"/>
      <c r="K12" s="8"/>
      <c r="L12" s="9"/>
      <c r="M12" s="7"/>
      <c r="N12" s="8"/>
      <c r="O12" s="9"/>
      <c r="P12" s="7"/>
      <c r="Q12" s="8"/>
      <c r="R12" s="9"/>
      <c r="T12" s="8"/>
      <c r="U12" s="9"/>
    </row>
    <row r="13" spans="1:21" ht="12.75">
      <c r="A13" s="3">
        <v>10</v>
      </c>
      <c r="B13" s="186" t="s">
        <v>75</v>
      </c>
      <c r="C13" s="7"/>
      <c r="D13" s="8">
        <v>1120</v>
      </c>
      <c r="E13" s="203">
        <v>4.272937</v>
      </c>
      <c r="F13" s="7"/>
      <c r="G13" s="7"/>
      <c r="H13" s="8"/>
      <c r="I13" s="9"/>
      <c r="K13" s="8"/>
      <c r="L13" s="9"/>
      <c r="M13" s="7"/>
      <c r="N13" s="8"/>
      <c r="O13" s="9"/>
      <c r="P13" s="7"/>
      <c r="Q13" s="8"/>
      <c r="R13" s="9"/>
      <c r="T13" s="8"/>
      <c r="U13" s="9"/>
    </row>
    <row r="14" spans="2:8" ht="19.5" customHeight="1">
      <c r="B14" s="10" t="s">
        <v>84</v>
      </c>
      <c r="C14" s="7"/>
      <c r="D14" s="8"/>
      <c r="E14" s="196"/>
      <c r="F14" s="6"/>
      <c r="G14" s="8"/>
      <c r="H14" s="8"/>
    </row>
    <row r="15" spans="1:21" ht="12.75">
      <c r="A15" s="247">
        <v>1</v>
      </c>
      <c r="B15" s="248" t="s">
        <v>83</v>
      </c>
      <c r="C15" s="249"/>
      <c r="D15" s="250">
        <v>44</v>
      </c>
      <c r="E15" s="251"/>
      <c r="F15" s="252"/>
      <c r="G15" s="250"/>
      <c r="H15" s="250"/>
      <c r="I15" s="247"/>
      <c r="J15" s="247"/>
      <c r="K15" s="250"/>
      <c r="L15" s="247"/>
      <c r="M15" s="247"/>
      <c r="N15" s="250"/>
      <c r="O15" s="247"/>
      <c r="P15" s="247"/>
      <c r="Q15" s="250"/>
      <c r="R15" s="247"/>
      <c r="S15" s="247"/>
      <c r="T15" s="250"/>
      <c r="U15" s="247"/>
    </row>
    <row r="16" spans="1:21" ht="12.75">
      <c r="A16" s="247">
        <v>2</v>
      </c>
      <c r="B16" s="249" t="s">
        <v>1</v>
      </c>
      <c r="C16" s="249"/>
      <c r="D16" s="250">
        <v>392</v>
      </c>
      <c r="E16" s="251"/>
      <c r="F16" s="249"/>
      <c r="G16" s="250"/>
      <c r="H16" s="250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</row>
    <row r="17" spans="1:21" ht="12.75">
      <c r="A17" s="247">
        <v>3</v>
      </c>
      <c r="B17" s="249" t="s">
        <v>76</v>
      </c>
      <c r="C17" s="249"/>
      <c r="D17" s="250">
        <v>104</v>
      </c>
      <c r="E17" s="247"/>
      <c r="F17" s="249"/>
      <c r="G17" s="250"/>
      <c r="H17" s="250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</row>
    <row r="18" spans="1:21" ht="12.75">
      <c r="A18" s="247">
        <v>4</v>
      </c>
      <c r="B18" s="248" t="s">
        <v>87</v>
      </c>
      <c r="C18" s="249"/>
      <c r="D18" s="250">
        <v>492</v>
      </c>
      <c r="E18" s="247"/>
      <c r="F18" s="249"/>
      <c r="G18" s="250"/>
      <c r="H18" s="250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</row>
    <row r="19" spans="1:21" ht="12.75">
      <c r="A19" s="247">
        <v>5</v>
      </c>
      <c r="B19" s="248" t="s">
        <v>77</v>
      </c>
      <c r="C19" s="249"/>
      <c r="D19" s="250">
        <v>104</v>
      </c>
      <c r="E19" s="247"/>
      <c r="F19" s="249"/>
      <c r="G19" s="250"/>
      <c r="H19" s="250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</row>
    <row r="20" spans="1:21" ht="12.75">
      <c r="A20" s="3">
        <v>6</v>
      </c>
      <c r="B20" s="186" t="s">
        <v>88</v>
      </c>
      <c r="C20" s="7"/>
      <c r="D20" s="8">
        <v>164</v>
      </c>
      <c r="E20" s="247"/>
      <c r="F20" s="249"/>
      <c r="G20" s="250"/>
      <c r="H20" s="250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</row>
    <row r="21" spans="2:8" ht="19.5" customHeight="1">
      <c r="B21" s="10" t="s">
        <v>11</v>
      </c>
      <c r="C21" s="7"/>
      <c r="D21" s="8"/>
      <c r="F21" s="7"/>
      <c r="G21" s="8"/>
      <c r="H21" s="8"/>
    </row>
    <row r="22" spans="1:20" ht="12.75">
      <c r="A22" s="3">
        <v>1</v>
      </c>
      <c r="B22" s="186" t="s">
        <v>10</v>
      </c>
      <c r="C22" s="7"/>
      <c r="D22" s="8">
        <v>0</v>
      </c>
      <c r="F22" s="7"/>
      <c r="G22" s="8"/>
      <c r="H22" s="8"/>
      <c r="K22" s="8"/>
      <c r="N22" s="8"/>
      <c r="Q22" s="8"/>
      <c r="T22" s="8"/>
    </row>
    <row r="23" spans="1:8" ht="12.75">
      <c r="A23" s="3">
        <v>2</v>
      </c>
      <c r="B23" s="186" t="s">
        <v>13</v>
      </c>
      <c r="C23" s="7"/>
      <c r="D23" s="8">
        <v>318</v>
      </c>
      <c r="F23" s="7"/>
      <c r="G23" s="8"/>
      <c r="H23" s="8"/>
    </row>
    <row r="24" spans="1:8" ht="12.75">
      <c r="A24" s="3">
        <v>3</v>
      </c>
      <c r="B24" s="186" t="s">
        <v>14</v>
      </c>
      <c r="C24" s="7"/>
      <c r="D24" s="8">
        <v>636</v>
      </c>
      <c r="F24" s="7"/>
      <c r="G24" s="8"/>
      <c r="H24" s="8"/>
    </row>
    <row r="25" spans="1:8" ht="12.75">
      <c r="A25" s="3">
        <v>4</v>
      </c>
      <c r="B25" s="186" t="s">
        <v>15</v>
      </c>
      <c r="C25" s="7"/>
      <c r="D25" s="8">
        <v>954</v>
      </c>
      <c r="F25" s="7"/>
      <c r="G25" s="8"/>
      <c r="H25" s="8"/>
    </row>
    <row r="26" spans="1:8" ht="12.75">
      <c r="A26" s="3">
        <v>5</v>
      </c>
      <c r="B26" s="186" t="s">
        <v>16</v>
      </c>
      <c r="C26" s="7"/>
      <c r="D26" s="8">
        <v>1272</v>
      </c>
      <c r="F26" s="7"/>
      <c r="G26" s="8"/>
      <c r="H26" s="8"/>
    </row>
    <row r="27" spans="2:6" ht="19.5" customHeight="1">
      <c r="B27" s="10" t="s">
        <v>12</v>
      </c>
      <c r="C27" s="197"/>
      <c r="F27" s="197"/>
    </row>
    <row r="28" spans="1:8" ht="12.75">
      <c r="A28" s="3">
        <v>1</v>
      </c>
      <c r="B28" s="186" t="s">
        <v>10</v>
      </c>
      <c r="C28" s="7"/>
      <c r="D28" s="8">
        <v>0</v>
      </c>
      <c r="F28" s="7"/>
      <c r="G28" s="8"/>
      <c r="H28" s="8"/>
    </row>
    <row r="29" spans="1:8" ht="12.75">
      <c r="A29" s="3">
        <v>2</v>
      </c>
      <c r="B29" s="186" t="s">
        <v>13</v>
      </c>
      <c r="C29" s="7"/>
      <c r="D29" s="8">
        <v>130</v>
      </c>
      <c r="F29" s="7"/>
      <c r="G29" s="8"/>
      <c r="H29" s="8"/>
    </row>
    <row r="30" spans="1:8" ht="12.75">
      <c r="A30" s="3">
        <v>3</v>
      </c>
      <c r="B30" s="186" t="s">
        <v>14</v>
      </c>
      <c r="C30" s="7"/>
      <c r="D30" s="8">
        <v>260</v>
      </c>
      <c r="F30" s="7"/>
      <c r="G30" s="8"/>
      <c r="H30" s="8"/>
    </row>
    <row r="31" spans="1:8" ht="12.75">
      <c r="A31" s="3">
        <v>4</v>
      </c>
      <c r="B31" s="186" t="s">
        <v>15</v>
      </c>
      <c r="C31" s="7"/>
      <c r="D31" s="8">
        <f>D29*3</f>
        <v>390</v>
      </c>
      <c r="F31" s="7"/>
      <c r="G31" s="8"/>
      <c r="H31" s="8"/>
    </row>
    <row r="32" spans="1:8" ht="12.75">
      <c r="A32" s="3">
        <v>5</v>
      </c>
      <c r="B32" s="186" t="s">
        <v>16</v>
      </c>
      <c r="C32" s="7"/>
      <c r="D32" s="8">
        <f>D29*4</f>
        <v>520</v>
      </c>
      <c r="F32" s="7"/>
      <c r="G32" s="8"/>
      <c r="H32" s="8"/>
    </row>
    <row r="33" spans="2:6" ht="20.25" customHeight="1">
      <c r="B33" s="27" t="s">
        <v>85</v>
      </c>
      <c r="C33" s="197"/>
      <c r="D33" s="28" t="s">
        <v>34</v>
      </c>
      <c r="E33" s="28" t="s">
        <v>35</v>
      </c>
      <c r="F33" s="197"/>
    </row>
    <row r="34" spans="1:7" s="41" customFormat="1" ht="12.75">
      <c r="A34" s="42">
        <v>1</v>
      </c>
      <c r="B34" s="186" t="s">
        <v>44</v>
      </c>
      <c r="C34" s="186"/>
      <c r="D34" s="8">
        <v>0</v>
      </c>
      <c r="E34" s="8">
        <v>0</v>
      </c>
      <c r="F34" s="186"/>
      <c r="G34" s="198"/>
    </row>
    <row r="35" spans="1:8" ht="12.75">
      <c r="A35" s="3">
        <v>2</v>
      </c>
      <c r="B35" s="186" t="s">
        <v>86</v>
      </c>
      <c r="C35" s="7"/>
      <c r="D35" s="8">
        <v>793</v>
      </c>
      <c r="E35" s="8">
        <v>793</v>
      </c>
      <c r="F35" s="7"/>
      <c r="G35" s="8"/>
      <c r="H35" s="8"/>
    </row>
    <row r="36" spans="1:8" ht="12.75">
      <c r="A36" s="3">
        <v>3</v>
      </c>
      <c r="B36" s="186" t="s">
        <v>22</v>
      </c>
      <c r="C36" s="7"/>
      <c r="D36" s="8">
        <v>437</v>
      </c>
      <c r="E36" s="8">
        <v>437</v>
      </c>
      <c r="F36" s="7"/>
      <c r="G36" s="8"/>
      <c r="H36" s="8"/>
    </row>
    <row r="37" spans="1:8" ht="12.75">
      <c r="A37" s="3">
        <v>4</v>
      </c>
      <c r="B37" s="186" t="s">
        <v>23</v>
      </c>
      <c r="C37" s="7"/>
      <c r="D37" s="8">
        <v>437</v>
      </c>
      <c r="E37" s="8">
        <v>437</v>
      </c>
      <c r="F37" s="7"/>
      <c r="G37" s="8"/>
      <c r="H37" s="8"/>
    </row>
    <row r="38" spans="1:8" ht="12.75">
      <c r="A38" s="3">
        <v>5</v>
      </c>
      <c r="B38" s="186" t="s">
        <v>65</v>
      </c>
      <c r="C38" s="7"/>
      <c r="D38" s="195" t="s">
        <v>73</v>
      </c>
      <c r="E38" s="195" t="s">
        <v>73</v>
      </c>
      <c r="F38" s="7"/>
      <c r="G38" s="8"/>
      <c r="H38" s="8"/>
    </row>
    <row r="39" spans="2:8" ht="12.75">
      <c r="B39" s="186"/>
      <c r="C39" s="7"/>
      <c r="D39" s="195"/>
      <c r="E39" s="195"/>
      <c r="F39" s="7"/>
      <c r="G39" s="8"/>
      <c r="H39" s="8"/>
    </row>
    <row r="40" spans="2:7" s="28" customFormat="1" ht="26.25" customHeight="1">
      <c r="B40" s="10" t="s">
        <v>70</v>
      </c>
      <c r="D40" s="194" t="s">
        <v>71</v>
      </c>
      <c r="E40" s="28" t="s">
        <v>72</v>
      </c>
      <c r="G40" s="194"/>
    </row>
    <row r="41" spans="1:5" ht="12.75">
      <c r="A41" s="3">
        <v>1</v>
      </c>
      <c r="B41" s="186" t="s">
        <v>68</v>
      </c>
      <c r="D41" s="199">
        <v>0</v>
      </c>
      <c r="E41" s="199">
        <v>0</v>
      </c>
    </row>
    <row r="42" spans="1:5" ht="12.75">
      <c r="A42" s="3">
        <v>2</v>
      </c>
      <c r="B42" s="186" t="s">
        <v>69</v>
      </c>
      <c r="D42" s="200">
        <v>250</v>
      </c>
      <c r="E42" s="200">
        <v>87.5</v>
      </c>
    </row>
    <row r="43" spans="2:5" ht="12.75">
      <c r="B43" s="198"/>
      <c r="D43" s="201"/>
      <c r="E43" s="201"/>
    </row>
    <row r="45" spans="2:29" s="15" customFormat="1" ht="20.25" customHeight="1">
      <c r="B45" s="20"/>
      <c r="C45" s="20"/>
      <c r="D45" s="21"/>
      <c r="E45" s="21"/>
      <c r="F45" s="11"/>
      <c r="G45" s="21"/>
      <c r="H45" s="11"/>
      <c r="I45" s="11"/>
      <c r="J45" s="11"/>
      <c r="K45" s="11"/>
      <c r="L45" s="11"/>
      <c r="M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2:29" s="1" customFormat="1" ht="15" customHeight="1">
      <c r="B46" s="22"/>
      <c r="C46" s="22"/>
      <c r="D46" s="19"/>
      <c r="E46" s="19"/>
      <c r="F46" s="5"/>
      <c r="G46" s="19"/>
      <c r="H46" s="5"/>
      <c r="I46" s="5"/>
      <c r="J46" s="5"/>
      <c r="K46" s="5"/>
      <c r="L46" s="5"/>
      <c r="M46" s="2"/>
      <c r="N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s="1" customFormat="1" ht="15" customHeight="1">
      <c r="B47" s="22"/>
      <c r="C47" s="22"/>
      <c r="D47" s="19"/>
      <c r="E47" s="19"/>
      <c r="F47" s="5"/>
      <c r="G47" s="19"/>
      <c r="H47" s="5"/>
      <c r="I47" s="5"/>
      <c r="J47" s="5"/>
      <c r="K47" s="5"/>
      <c r="L47" s="5"/>
      <c r="M47" s="2"/>
      <c r="N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</sheetData>
  <sheetProtection selectLockedCells="1"/>
  <mergeCells count="7">
    <mergeCell ref="A1:B1"/>
    <mergeCell ref="Q1:R1"/>
    <mergeCell ref="T1:U1"/>
    <mergeCell ref="D1:E1"/>
    <mergeCell ref="H1:I1"/>
    <mergeCell ref="K1:L1"/>
    <mergeCell ref="N1:O1"/>
  </mergeCells>
  <printOptions gridLines="1"/>
  <pageMargins left="0.5511811023622047" right="0.5511811023622047" top="0.3937007874015748" bottom="0.5905511811023623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SRV Rate Increase Calculator</dc:title>
  <dc:subject>SRV</dc:subject>
  <dc:creator>Tim Weeks</dc:creator>
  <cp:keywords>Special Rate Variation</cp:keywords>
  <dc:description/>
  <cp:lastModifiedBy>Glenn Newman</cp:lastModifiedBy>
  <cp:lastPrinted>2014-04-16T04:22:35Z</cp:lastPrinted>
  <dcterms:created xsi:type="dcterms:W3CDTF">2001-06-27T05:11:45Z</dcterms:created>
  <dcterms:modified xsi:type="dcterms:W3CDTF">2022-05-23T01:42:47Z</dcterms:modified>
  <cp:category/>
  <cp:version/>
  <cp:contentType/>
  <cp:contentStatus/>
</cp:coreProperties>
</file>